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 tabRatio="790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E28" i="31" l="1"/>
  <c r="F31" i="31"/>
  <c r="F30" i="31"/>
  <c r="F28" i="31"/>
  <c r="F27" i="31"/>
  <c r="F26" i="31"/>
  <c r="F25" i="31"/>
  <c r="F24" i="31"/>
  <c r="F23" i="31"/>
  <c r="F22" i="31"/>
  <c r="F21" i="31"/>
  <c r="F42" i="31" l="1"/>
  <c r="F41" i="31"/>
  <c r="F39" i="31"/>
  <c r="F38" i="31"/>
  <c r="F25" i="11" l="1"/>
  <c r="F33" i="11"/>
  <c r="F32" i="11"/>
  <c r="F31" i="11"/>
  <c r="F30" i="11"/>
  <c r="F34" i="11" s="1"/>
  <c r="F29" i="11"/>
  <c r="F24" i="11"/>
  <c r="F21" i="11"/>
  <c r="F20" i="11"/>
  <c r="H23" i="10"/>
  <c r="F52" i="10"/>
  <c r="F42" i="11" l="1"/>
  <c r="G74" i="23"/>
  <c r="H56" i="23"/>
  <c r="H55" i="23"/>
  <c r="D25" i="11" l="1"/>
  <c r="H36" i="23"/>
  <c r="H120" i="23"/>
  <c r="H29" i="10" l="1"/>
  <c r="H31" i="10" s="1"/>
  <c r="G79" i="23" l="1"/>
  <c r="G70" i="23"/>
  <c r="G73" i="23" l="1"/>
  <c r="G72" i="23" l="1"/>
  <c r="I68" i="23"/>
  <c r="I69" i="23"/>
  <c r="I70" i="23"/>
  <c r="I71" i="23"/>
  <c r="I72" i="23"/>
  <c r="I73" i="23"/>
  <c r="I74" i="23"/>
  <c r="I75" i="23"/>
  <c r="I77" i="23"/>
  <c r="I78" i="23"/>
  <c r="I79" i="23"/>
  <c r="I80" i="23"/>
  <c r="I67" i="23"/>
  <c r="H52" i="10" l="1"/>
  <c r="H28" i="23" l="1"/>
  <c r="D34" i="11" l="1"/>
  <c r="H44" i="10" l="1"/>
  <c r="H38" i="10"/>
  <c r="H46" i="10" l="1"/>
  <c r="E44" i="31" l="1"/>
  <c r="F44" i="31"/>
  <c r="B10" i="11" l="1"/>
  <c r="C8" i="23" s="1"/>
  <c r="D62" i="31" l="1"/>
  <c r="F56" i="31"/>
  <c r="E56" i="31"/>
  <c r="D56" i="31"/>
  <c r="D44" i="31"/>
  <c r="D33" i="31"/>
  <c r="F17" i="31"/>
  <c r="E17" i="31"/>
  <c r="F38" i="11"/>
  <c r="F40" i="11" s="1"/>
  <c r="D38" i="11"/>
  <c r="F18" i="11"/>
  <c r="F17" i="11"/>
  <c r="I151" i="23"/>
  <c r="H147" i="23"/>
  <c r="F36" i="10" s="1"/>
  <c r="H131" i="23"/>
  <c r="F35" i="10"/>
  <c r="E105" i="23"/>
  <c r="E104" i="23"/>
  <c r="E106" i="23" s="1"/>
  <c r="I100" i="23"/>
  <c r="H100" i="23"/>
  <c r="G100" i="23"/>
  <c r="F100" i="23"/>
  <c r="E100" i="23"/>
  <c r="H76" i="23"/>
  <c r="H81" i="23" s="1"/>
  <c r="G81" i="23"/>
  <c r="H57" i="23"/>
  <c r="F19" i="10" s="1"/>
  <c r="H50" i="23"/>
  <c r="H42" i="23"/>
  <c r="H22" i="23"/>
  <c r="F14" i="10" s="1"/>
  <c r="C9" i="23"/>
  <c r="H54" i="10"/>
  <c r="J47" i="10"/>
  <c r="J54" i="10" s="1"/>
  <c r="F41" i="10"/>
  <c r="F44" i="10" s="1"/>
  <c r="J30" i="10"/>
  <c r="J22" i="10"/>
  <c r="L57" i="166"/>
  <c r="L49" i="166"/>
  <c r="L44" i="166"/>
  <c r="L47" i="166" s="1"/>
  <c r="L48" i="166" s="1"/>
  <c r="J31" i="10" l="1"/>
  <c r="F38" i="10"/>
  <c r="F46" i="10" s="1"/>
  <c r="F54" i="10" s="1"/>
  <c r="F26" i="10"/>
  <c r="F27" i="10"/>
  <c r="I76" i="23"/>
  <c r="H44" i="23"/>
  <c r="F15" i="10" s="1"/>
  <c r="H30" i="23"/>
  <c r="I81" i="23"/>
  <c r="D40" i="11"/>
  <c r="F23" i="10" l="1"/>
  <c r="F29" i="10"/>
  <c r="D42" i="11"/>
  <c r="F19" i="31"/>
  <c r="F33" i="31" s="1"/>
  <c r="F31" i="10" l="1"/>
  <c r="H75" i="10"/>
  <c r="E19" i="31"/>
  <c r="E33" i="31" l="1"/>
  <c r="E59" i="31" s="1"/>
  <c r="F59" i="31" s="1"/>
  <c r="F62" i="31" s="1"/>
  <c r="E62" i="31" l="1"/>
  <c r="F75" i="10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<sst xmlns="http://schemas.openxmlformats.org/spreadsheetml/2006/main" count="298" uniqueCount="280">
  <si>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</si>
  <si>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</si>
  <si>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</si>
  <si>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</si>
  <si>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</si>
  <si>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</si>
  <si>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</si>
  <si>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</si>
  <si>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</si>
  <si>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</si>
  <si>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</si>
  <si>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</si>
  <si>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</si>
  <si>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</si>
  <si>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</si>
  <si>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</si>
  <si>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</si>
  <si>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</si>
  <si>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</si>
  <si>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</si>
  <si>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</si>
  <si>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</si>
  <si>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</si>
  <si>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</si>
  <si>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</si>
  <si>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</si>
  <si>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</si>
  <si>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</si>
  <si>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</si>
  <si>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</si>
  <si>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</si>
  <si>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</si>
  <si>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</si>
  <si>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</si>
  <si>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</si>
  <si>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</si>
  <si>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</si>
  <si>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</si>
  <si>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</si>
  <si>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</si>
  <si>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</si>
  <si>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</si>
  <si>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</si>
  <si>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</si>
  <si>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</si>
  <si>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</si>
  <si>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</si>
  <si>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</si>
  <si>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</si>
  <si>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</si>
  <si>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</si>
  <si>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</si>
  <si>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</si>
  <si>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</si>
  <si>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</si>
  <si>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</si>
  <si>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</si>
  <si>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</si>
  <si>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</si>
  <si>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</si>
  <si>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</si>
  <si>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</si>
  <si>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</si>
  <si>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</si>
  <si>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</si>
  <si>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</si>
  <si>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</si>
  <si>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</si>
  <si>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</si>
  <si>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</si>
  <si>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</si>
  <si>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</si>
  <si>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</si>
  <si>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</si>
  <si>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</si>
  <si>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</si>
  <si>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</si>
  <si>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</si>
  <si>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</si>
  <si>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</si>
  <si>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</si>
  <si>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</si>
  <si>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</si>
  <si>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</si>
  <si>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</si>
  <si>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</si>
  <si>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</si>
  <si>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</si>
  <si>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</si>
  <si>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</si>
  <si>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</si>
  <si>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</si>
  <si>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</si>
  <si>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</si>
  <si>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</si>
  <si>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</si>
  <si>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</si>
  <si>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</si>
  <si>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</si>
  <si>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</si>
  <si>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</si>
  <si>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</si>
  <si>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</si>
  <si>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</si>
  <si>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</si>
  <si>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</si>
  <si>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</si>
  <si>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</si>
  <si>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</si>
  <si>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</si>
  <si>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</si>
  <si>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</si>
  <si>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</si>
  <si>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</si>
  <si>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</si>
  <si>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</si>
  <si>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</si>
  <si>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</si>
  <si>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</si>
  <si>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</si>
  <si>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</si>
  <si>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</si>
  <si>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</si>
  <si>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</si>
  <si>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</si>
  <si>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</si>
  <si>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</si>
  <si>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</si>
  <si>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</si>
  <si>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</si>
  <si>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</si>
  <si>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</si>
  <si>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</si>
  <si>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</si>
  <si>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</si>
  <si>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</si>
  <si>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</si>
  <si>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</si>
  <si>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</si>
  <si>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</si>
  <si>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</si>
  <si>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</si>
  <si>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</si>
  <si>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</si>
  <si>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</si>
  <si>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</si>
  <si>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</si>
  <si>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</si>
  <si>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</si>
  <si>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</si>
  <si>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</si>
  <si>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</si>
  <si>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</si>
  <si>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</si>
  <si>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</si>
  <si>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</si>
  <si>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</si>
  <si>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</si>
  <si>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</si>
  <si>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</si>
  <si>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</si>
  <si>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</si>
  <si>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</si>
  <si>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</si>
  <si>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</si>
  <si>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</si>
  <si>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</si>
  <si>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</si>
  <si>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</si>
  <si>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</si>
  <si>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</si>
  <si>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</si>
  <si>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</si>
  <si>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</si>
  <si>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</si>
  <si>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</si>
  <si>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</si>
  <si>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</si>
  <si>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</si>
  <si>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</si>
  <si>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</si>
  <si>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</si>
  <si>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</si>
  <si>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</si>
  <si>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</si>
  <si>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</si>
  <si>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</si>
  <si>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</si>
  <si>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</si>
  <si>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</si>
  <si>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</si>
  <si>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</si>
  <si>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</si>
  <si>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</si>
  <si>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</si>
  <si>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</si>
  <si>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</si>
  <si>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</si>
  <si>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</si>
  <si>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</si>
  <si>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</si>
  <si>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</si>
  <si>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</si>
  <si>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</si>
  <si>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</si>
  <si>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</si>
  <si>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</si>
  <si>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</si>
  <si>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</si>
  <si>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</si>
  <si>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</si>
  <si>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</si>
  <si>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</si>
  <si>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</si>
  <si>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</si>
  <si>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</si>
  <si>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</si>
  <si>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</si>
  <si>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</si>
  <si>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</si>
  <si>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</si>
  <si>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</si>
  <si>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</si>
  <si>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</si>
  <si>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</si>
  <si>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</si>
  <si>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</si>
  <si>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</si>
  <si>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</si>
  <si>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</si>
  <si>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</si>
  <si>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</si>
  <si>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</si>
  <si>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</si>
  <si>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</si>
  <si>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</si>
  <si>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</si>
  <si>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</si>
  <si>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</si>
  <si>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</si>
  <si>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</si>
  <si>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</si>
  <si>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</si>
  <si>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</si>
  <si>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</si>
  <si>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</si>
  <si>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</si>
  <si>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</si>
  <si>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</si>
  <si>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</si>
  <si>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</si>
  <si>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</si>
  <si>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</si>
  <si>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</si>
  <si>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</si>
  <si>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</si>
  <si>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</si>
  <si>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</si>
  <si>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</si>
  <si>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</si>
  <si>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</si>
  <si>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</si>
  <si>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</si>
  <si>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</si>
  <si>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</si>
  <si>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</si>
  <si>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</si>
  <si>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</si>
  <si>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</si>
  <si>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</si>
  <si>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</si>
  <si>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AL 28 FEBRERO 2023</t>
  </si>
  <si>
    <t>La cuenta Retenciones y Contribuciones por pagar al 28 de febrero del 2023, se desglosan de la siguiente manera:</t>
  </si>
  <si>
    <t>La cuenta Obligaciones por pagar al 28 de febrero 2023 de la SISALRIL, se desglosan de la siguiente manera:</t>
  </si>
  <si>
    <t>Las cuentas por pagar proveedores al 28 de febrero del 2023 de la SISALRIL.</t>
  </si>
  <si>
    <t>DEL 01 DE ENERO AL 28 DE FEBRERO 2023</t>
  </si>
  <si>
    <t>Febrero</t>
  </si>
  <si>
    <t>Al 28 DE FEBRERO 2023</t>
  </si>
  <si>
    <t>Al 28 de febrero 2023, ésta cuenta se desglosa como sigue:</t>
  </si>
  <si>
    <t>Estos recursos están formados por dos partidas, las cuales una de ella representada por un valor ascendente por RD$405,042,821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</si>
</sst>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16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4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5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5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49" fontId="20" fillId="25" borderId="0" xfId="0" applyNumberFormat="1" applyFont="1" applyFill="1" applyBorder="1"/>
    <xf numFmtId="37" fontId="10" fillId="25" borderId="24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165" fontId="10" fillId="25" borderId="24" xfId="35" applyFont="1" applyFill="1" applyBorder="1" applyAlignment="1">
      <alignment horizontal="right"/>
    </xf>
    <xf numFmtId="3" fontId="13" fillId="25" borderId="24" xfId="0" applyNumberFormat="1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29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29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0" fillId="25" borderId="34" xfId="35" applyNumberFormat="1" applyFont="1" applyFill="1" applyBorder="1" applyAlignment="1">
      <alignment horizontal="center" vertical="center"/>
    </xf>
    <xf numFmtId="0" fontId="13" fillId="25" borderId="35" xfId="35" applyNumberFormat="1" applyFont="1" applyFill="1" applyBorder="1"/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7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38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4" xfId="0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4" xfId="35" applyFont="1" applyFill="1" applyBorder="1"/>
    <xf numFmtId="0" fontId="43" fillId="25" borderId="24" xfId="35" applyNumberFormat="1" applyFont="1" applyFill="1" applyBorder="1"/>
    <xf numFmtId="3" fontId="43" fillId="25" borderId="24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4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0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3" fillId="25" borderId="24" xfId="0" applyFont="1" applyFill="1" applyBorder="1"/>
    <xf numFmtId="166" fontId="46" fillId="25" borderId="24" xfId="35" applyNumberFormat="1" applyFont="1" applyFill="1" applyBorder="1"/>
    <xf numFmtId="0" fontId="46" fillId="25" borderId="24" xfId="0" applyFont="1" applyFill="1" applyBorder="1"/>
    <xf numFmtId="0" fontId="46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166" fontId="10" fillId="25" borderId="44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1" xfId="0" applyFont="1" applyFill="1" applyBorder="1"/>
    <xf numFmtId="166" fontId="10" fillId="25" borderId="45" xfId="35" applyNumberFormat="1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2" xfId="35" applyNumberFormat="1" applyFont="1" applyFill="1" applyBorder="1"/>
    <xf numFmtId="0" fontId="10" fillId="25" borderId="46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6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1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6" xfId="0" applyFont="1" applyFill="1" applyBorder="1"/>
    <xf numFmtId="40" fontId="10" fillId="25" borderId="24" xfId="0" applyNumberFormat="1" applyFont="1" applyFill="1" applyBorder="1"/>
    <xf numFmtId="166" fontId="10" fillId="25" borderId="27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0" fontId="6" fillId="26" borderId="0" xfId="0" applyFont="1" applyFill="1"/>
    <xf numFmtId="166" fontId="10" fillId="0" borderId="42" xfId="35" applyNumberFormat="1" applyFont="1" applyFill="1" applyBorder="1"/>
    <xf numFmtId="37" fontId="6" fillId="25" borderId="0" xfId="0" applyNumberFormat="1" applyFont="1" applyFill="1" applyBorder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4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6" fillId="26" borderId="0" xfId="0" applyNumberFormat="1" applyFont="1" applyFill="1" applyBorder="1"/>
    <xf numFmtId="0" fontId="46" fillId="26" borderId="0" xfId="0" applyFont="1" applyFill="1" applyBorder="1"/>
    <xf numFmtId="37" fontId="46" fillId="26" borderId="0" xfId="35" applyNumberFormat="1" applyFont="1" applyFill="1" applyBorder="1" applyAlignment="1"/>
    <xf numFmtId="166" fontId="46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8" fontId="0" fillId="0" borderId="0" xfId="0" applyNumberFormat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3" fontId="13" fillId="0" borderId="0" xfId="35" applyNumberFormat="1" applyFont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40" fontId="10" fillId="26" borderId="24" xfId="0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-0.249977111117893"/>
  </sheetPr>
  <dimension ref="A1:U102"/>
  <sheetViews>
    <sheetView tabSelected="1" zoomScaleNormal="100" zoomScaleSheetLayoutView="75" workbookViewId="0">
      <selection activeCell="D33" sqref="D33"/>
    </sheetView>
  </sheetViews>
  <sheetFormatPr baseColWidth="10" defaultRowHeight="14.25" x14ac:dyDescent="0.2"/>
  <cols>
    <col min="1" max="1" width="9.7109375" style="13" customWidth="1"/>
    <col min="2" max="2" width="3.285156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12.85546875" style="13" customWidth="1"/>
    <col min="10" max="10" width="5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98"/>
      <c r="D6" s="398"/>
      <c r="E6" s="398"/>
      <c r="F6" s="398"/>
      <c r="G6" s="398"/>
      <c r="H6" s="398"/>
      <c r="I6" s="398"/>
      <c r="J6" s="399"/>
      <c r="K6" s="27"/>
    </row>
    <row r="7" spans="2:21" x14ac:dyDescent="0.2">
      <c r="B7" s="28"/>
      <c r="C7" s="398" t="s">
        <v>12</v>
      </c>
      <c r="D7" s="398"/>
      <c r="E7" s="398"/>
      <c r="F7" s="398"/>
      <c r="G7" s="398"/>
      <c r="H7" s="398"/>
      <c r="I7" s="398"/>
      <c r="J7" s="399"/>
      <c r="K7" s="27"/>
    </row>
    <row r="8" spans="2:21" x14ac:dyDescent="0.2">
      <c r="B8" s="28"/>
      <c r="C8" s="398" t="s">
        <v>277</v>
      </c>
      <c r="D8" s="398"/>
      <c r="E8" s="398"/>
      <c r="F8" s="398"/>
      <c r="G8" s="398"/>
      <c r="H8" s="398"/>
      <c r="I8" s="398"/>
      <c r="J8" s="399"/>
      <c r="K8" s="27"/>
    </row>
    <row r="9" spans="2:21" x14ac:dyDescent="0.2">
      <c r="B9" s="28"/>
      <c r="C9" s="398"/>
      <c r="D9" s="398"/>
      <c r="E9" s="398"/>
      <c r="F9" s="398"/>
      <c r="G9" s="398"/>
      <c r="H9" s="398"/>
      <c r="I9" s="398"/>
      <c r="J9" s="399"/>
      <c r="K9" s="27"/>
    </row>
    <row r="10" spans="2:21" ht="15" thickBot="1" x14ac:dyDescent="0.25">
      <c r="B10" s="346"/>
      <c r="C10" s="347"/>
      <c r="D10" s="347"/>
      <c r="E10" s="347"/>
      <c r="F10" s="347"/>
      <c r="G10" s="347"/>
      <c r="H10" s="347"/>
      <c r="I10" s="347"/>
      <c r="J10" s="348"/>
      <c r="K10" s="27"/>
    </row>
    <row r="11" spans="2:21" x14ac:dyDescent="0.2">
      <c r="B11" s="62"/>
      <c r="C11" s="68"/>
      <c r="D11" s="66"/>
      <c r="E11" s="66"/>
      <c r="F11" s="66"/>
      <c r="G11" s="66"/>
      <c r="H11" s="66"/>
      <c r="I11" s="66"/>
      <c r="J11" s="67"/>
      <c r="K11" s="27"/>
    </row>
    <row r="12" spans="2:21" x14ac:dyDescent="0.2">
      <c r="B12" s="62"/>
      <c r="C12" s="68"/>
      <c r="D12" s="66"/>
      <c r="E12" s="66"/>
      <c r="F12" s="66"/>
      <c r="G12" s="66"/>
      <c r="H12" s="66"/>
      <c r="I12" s="66"/>
      <c r="J12" s="67"/>
      <c r="K12" s="27"/>
    </row>
    <row r="13" spans="2:21" ht="15" x14ac:dyDescent="0.2">
      <c r="B13" s="62"/>
      <c r="C13" s="194" t="s">
        <v>115</v>
      </c>
      <c r="D13" s="167" t="s">
        <v>232</v>
      </c>
      <c r="E13" s="167"/>
      <c r="F13" s="167"/>
      <c r="G13" s="168"/>
      <c r="H13" s="168"/>
      <c r="I13" s="168"/>
      <c r="J13" s="67"/>
      <c r="K13" s="27"/>
      <c r="M13" s="400"/>
      <c r="N13" s="400"/>
      <c r="O13" s="400"/>
      <c r="P13" s="400"/>
      <c r="Q13" s="400"/>
      <c r="R13" s="400"/>
      <c r="S13" s="400"/>
      <c r="T13" s="400"/>
      <c r="U13" s="400"/>
    </row>
    <row r="14" spans="2:21" ht="15" x14ac:dyDescent="0.2">
      <c r="B14" s="62"/>
      <c r="C14" s="169"/>
      <c r="D14" s="168"/>
      <c r="E14" s="168"/>
      <c r="F14" s="168"/>
      <c r="G14" s="168"/>
      <c r="H14" s="168"/>
      <c r="I14" s="168"/>
      <c r="J14" s="67"/>
      <c r="K14" s="27"/>
    </row>
    <row r="15" spans="2:21" ht="15" x14ac:dyDescent="0.2">
      <c r="B15" s="62"/>
      <c r="C15" s="169"/>
      <c r="D15" s="357" t="s">
        <v>225</v>
      </c>
      <c r="E15" s="357"/>
      <c r="F15" s="357"/>
      <c r="G15" s="357"/>
      <c r="H15" s="357"/>
      <c r="I15" s="357"/>
      <c r="J15" s="67"/>
      <c r="K15" s="27"/>
    </row>
    <row r="16" spans="2:21" ht="15" x14ac:dyDescent="0.2">
      <c r="B16" s="62"/>
      <c r="C16" s="169"/>
      <c r="D16" s="357" t="s">
        <v>257</v>
      </c>
      <c r="E16" s="357"/>
      <c r="F16" s="357"/>
      <c r="G16" s="357"/>
      <c r="H16" s="357"/>
      <c r="I16" s="357"/>
      <c r="J16" s="67"/>
      <c r="K16" s="27"/>
    </row>
    <row r="17" spans="2:12" ht="15" x14ac:dyDescent="0.2">
      <c r="B17" s="62"/>
      <c r="C17" s="169"/>
      <c r="D17" s="357" t="s">
        <v>226</v>
      </c>
      <c r="E17" s="357"/>
      <c r="F17" s="357"/>
      <c r="G17" s="357"/>
      <c r="H17" s="357"/>
      <c r="I17" s="357"/>
      <c r="J17" s="67"/>
      <c r="K17" s="27"/>
    </row>
    <row r="18" spans="2:12" ht="15" x14ac:dyDescent="0.2">
      <c r="B18" s="62"/>
      <c r="C18" s="169"/>
      <c r="D18" s="357" t="s">
        <v>227</v>
      </c>
      <c r="E18" s="357"/>
      <c r="F18" s="357"/>
      <c r="G18" s="357"/>
      <c r="H18" s="165"/>
      <c r="I18" s="357"/>
      <c r="J18" s="67"/>
      <c r="K18" s="27"/>
    </row>
    <row r="19" spans="2:12" ht="15" x14ac:dyDescent="0.2">
      <c r="B19" s="62"/>
      <c r="C19" s="169"/>
      <c r="D19" s="357"/>
      <c r="E19" s="357"/>
      <c r="F19" s="357"/>
      <c r="G19" s="357"/>
      <c r="H19" s="165"/>
      <c r="I19" s="357"/>
      <c r="J19" s="67"/>
      <c r="K19" s="27"/>
    </row>
    <row r="20" spans="2:12" ht="15" x14ac:dyDescent="0.2">
      <c r="B20" s="62"/>
      <c r="C20" s="170"/>
      <c r="D20" s="357" t="s">
        <v>230</v>
      </c>
      <c r="E20" s="358"/>
      <c r="F20" s="357"/>
      <c r="G20" s="357"/>
      <c r="H20" s="359"/>
      <c r="I20" s="357"/>
      <c r="J20" s="67"/>
      <c r="K20" s="27"/>
      <c r="L20" s="32"/>
    </row>
    <row r="21" spans="2:12" ht="15" x14ac:dyDescent="0.2">
      <c r="B21" s="62"/>
      <c r="C21" s="170"/>
      <c r="D21" s="357" t="s">
        <v>258</v>
      </c>
      <c r="E21" s="358"/>
      <c r="F21" s="357"/>
      <c r="G21" s="359"/>
      <c r="H21" s="359"/>
      <c r="I21" s="357"/>
      <c r="J21" s="67"/>
      <c r="K21" s="27"/>
      <c r="L21" s="32"/>
    </row>
    <row r="22" spans="2:12" ht="15" x14ac:dyDescent="0.2">
      <c r="B22" s="62"/>
      <c r="C22" s="170"/>
      <c r="D22" s="357" t="s">
        <v>231</v>
      </c>
      <c r="E22" s="357"/>
      <c r="F22" s="357"/>
      <c r="G22" s="359"/>
      <c r="H22" s="359"/>
      <c r="I22" s="357"/>
      <c r="J22" s="67"/>
      <c r="K22" s="27"/>
      <c r="L22" s="8"/>
    </row>
    <row r="23" spans="2:12" ht="15" x14ac:dyDescent="0.2">
      <c r="B23" s="62"/>
      <c r="C23" s="170"/>
      <c r="D23" s="168"/>
      <c r="E23" s="168"/>
      <c r="F23" s="168"/>
      <c r="G23" s="172"/>
      <c r="H23" s="172"/>
      <c r="I23" s="168"/>
      <c r="J23" s="67"/>
      <c r="K23" s="27"/>
      <c r="L23" s="8"/>
    </row>
    <row r="24" spans="2:12" ht="15" x14ac:dyDescent="0.2">
      <c r="B24" s="62"/>
      <c r="C24" s="170"/>
      <c r="D24" s="168"/>
      <c r="E24" s="168"/>
      <c r="F24" s="168"/>
      <c r="G24" s="172"/>
      <c r="H24" s="172"/>
      <c r="I24" s="168"/>
      <c r="J24" s="67"/>
      <c r="K24" s="27"/>
      <c r="L24" s="8"/>
    </row>
    <row r="25" spans="2:12" ht="15" x14ac:dyDescent="0.2">
      <c r="B25" s="62"/>
      <c r="C25" s="194" t="s">
        <v>48</v>
      </c>
      <c r="D25" s="167" t="s">
        <v>219</v>
      </c>
      <c r="E25" s="168"/>
      <c r="F25" s="168"/>
      <c r="G25" s="172"/>
      <c r="H25" s="172"/>
      <c r="I25" s="168"/>
      <c r="J25" s="67"/>
      <c r="K25" s="27"/>
      <c r="L25" s="8"/>
    </row>
    <row r="26" spans="2:12" ht="15" x14ac:dyDescent="0.2">
      <c r="B26" s="62"/>
      <c r="C26" s="170"/>
      <c r="D26" s="168"/>
      <c r="E26" s="168"/>
      <c r="F26" s="168"/>
      <c r="G26" s="172"/>
      <c r="H26" s="172"/>
      <c r="I26" s="168"/>
      <c r="J26" s="67"/>
      <c r="K26" s="27"/>
      <c r="L26" s="8"/>
    </row>
    <row r="27" spans="2:12" ht="15" x14ac:dyDescent="0.2">
      <c r="B27" s="62"/>
      <c r="C27" s="170"/>
      <c r="D27" s="168" t="s">
        <v>233</v>
      </c>
      <c r="E27" s="168"/>
      <c r="F27" s="168"/>
      <c r="G27" s="172"/>
      <c r="H27" s="172"/>
      <c r="I27" s="168"/>
      <c r="J27" s="67"/>
      <c r="K27" s="27"/>
      <c r="L27" s="8"/>
    </row>
    <row r="28" spans="2:12" ht="15" x14ac:dyDescent="0.2">
      <c r="B28" s="62"/>
      <c r="C28" s="170"/>
      <c r="D28" s="168"/>
      <c r="E28" s="168"/>
      <c r="F28" s="168"/>
      <c r="G28" s="172"/>
      <c r="H28" s="172"/>
      <c r="I28" s="168"/>
      <c r="J28" s="67"/>
      <c r="K28" s="27"/>
      <c r="L28" s="8"/>
    </row>
    <row r="29" spans="2:12" ht="15" x14ac:dyDescent="0.2">
      <c r="B29" s="62"/>
      <c r="C29" s="194" t="s">
        <v>49</v>
      </c>
      <c r="D29" s="167" t="s">
        <v>13</v>
      </c>
      <c r="E29" s="168"/>
      <c r="F29" s="168"/>
      <c r="G29" s="172"/>
      <c r="H29" s="172"/>
      <c r="I29" s="168"/>
      <c r="J29" s="67"/>
      <c r="K29" s="27"/>
      <c r="L29" s="8"/>
    </row>
    <row r="30" spans="2:12" ht="15" x14ac:dyDescent="0.2">
      <c r="B30" s="62"/>
      <c r="C30" s="194"/>
      <c r="D30" s="166"/>
      <c r="E30" s="168"/>
      <c r="F30" s="168"/>
      <c r="G30" s="172"/>
      <c r="H30" s="172"/>
      <c r="I30" s="168"/>
      <c r="J30" s="67"/>
      <c r="K30" s="27"/>
      <c r="L30" s="8"/>
    </row>
    <row r="31" spans="2:12" ht="15" x14ac:dyDescent="0.2">
      <c r="B31" s="62"/>
      <c r="C31" s="194"/>
      <c r="D31" s="168" t="s">
        <v>243</v>
      </c>
      <c r="E31" s="168"/>
      <c r="F31" s="168"/>
      <c r="G31" s="172"/>
      <c r="H31" s="172"/>
      <c r="I31" s="168"/>
      <c r="J31" s="67"/>
      <c r="K31" s="27"/>
      <c r="L31" s="8"/>
    </row>
    <row r="32" spans="2:12" ht="15" x14ac:dyDescent="0.2">
      <c r="B32" s="62"/>
      <c r="C32" s="170"/>
      <c r="D32" s="168"/>
      <c r="E32" s="168"/>
      <c r="F32" s="168"/>
      <c r="G32" s="172"/>
      <c r="H32" s="172"/>
      <c r="I32" s="168"/>
      <c r="J32" s="67"/>
      <c r="K32" s="27"/>
      <c r="L32" s="8"/>
    </row>
    <row r="33" spans="2:14" ht="15" x14ac:dyDescent="0.2">
      <c r="B33" s="62"/>
      <c r="C33" s="194" t="s">
        <v>14</v>
      </c>
      <c r="D33" s="167" t="s">
        <v>47</v>
      </c>
      <c r="E33" s="173"/>
      <c r="F33" s="168"/>
      <c r="G33" s="172"/>
      <c r="H33" s="172"/>
      <c r="I33" s="168"/>
      <c r="J33" s="67"/>
      <c r="K33" s="27"/>
      <c r="L33" s="8"/>
    </row>
    <row r="34" spans="2:14" ht="15" x14ac:dyDescent="0.2">
      <c r="B34" s="62"/>
      <c r="C34" s="170"/>
      <c r="D34" s="173"/>
      <c r="E34" s="173"/>
      <c r="F34" s="173"/>
      <c r="G34" s="173"/>
      <c r="H34" s="172"/>
      <c r="I34" s="168"/>
      <c r="J34" s="67"/>
      <c r="K34" s="27"/>
      <c r="L34" s="8"/>
    </row>
    <row r="35" spans="2:14" ht="15" x14ac:dyDescent="0.2">
      <c r="B35" s="62"/>
      <c r="C35" s="170"/>
      <c r="D35" s="171"/>
      <c r="E35" s="171"/>
      <c r="F35" s="172"/>
      <c r="G35" s="173"/>
      <c r="H35" s="172"/>
      <c r="I35" s="168"/>
      <c r="J35" s="67"/>
      <c r="K35" s="27"/>
      <c r="L35" s="8"/>
    </row>
    <row r="36" spans="2:14" ht="15" x14ac:dyDescent="0.2">
      <c r="B36" s="62"/>
      <c r="C36" s="194" t="s">
        <v>15</v>
      </c>
      <c r="D36" s="167" t="s">
        <v>50</v>
      </c>
      <c r="E36" s="168"/>
      <c r="F36" s="168"/>
      <c r="G36" s="174"/>
      <c r="H36" s="173"/>
      <c r="I36" s="173"/>
      <c r="J36" s="67"/>
      <c r="K36" s="27"/>
    </row>
    <row r="37" spans="2:14" ht="15" x14ac:dyDescent="0.2">
      <c r="B37" s="62"/>
      <c r="C37" s="170"/>
      <c r="D37" s="168"/>
      <c r="E37" s="168"/>
      <c r="F37" s="173"/>
      <c r="G37" s="172"/>
      <c r="H37" s="173"/>
      <c r="I37" s="173"/>
      <c r="J37" s="67"/>
      <c r="K37" s="27"/>
    </row>
    <row r="38" spans="2:14" ht="15" x14ac:dyDescent="0.2">
      <c r="B38" s="62"/>
      <c r="C38" s="170"/>
      <c r="D38" s="168" t="s">
        <v>234</v>
      </c>
      <c r="E38" s="173"/>
      <c r="F38" s="173"/>
      <c r="G38" s="172"/>
      <c r="H38" s="172"/>
      <c r="I38" s="168"/>
      <c r="J38" s="67"/>
      <c r="K38" s="27"/>
    </row>
    <row r="39" spans="2:14" ht="15" x14ac:dyDescent="0.2">
      <c r="B39" s="62"/>
      <c r="C39" s="170"/>
      <c r="D39" s="168"/>
      <c r="E39" s="168"/>
      <c r="F39" s="173"/>
      <c r="G39" s="172"/>
      <c r="H39" s="172"/>
      <c r="I39" s="168"/>
      <c r="J39" s="67"/>
      <c r="K39" s="27"/>
      <c r="N39" s="137"/>
    </row>
    <row r="40" spans="2:14" ht="15" x14ac:dyDescent="0.2">
      <c r="B40" s="62"/>
      <c r="C40" s="168"/>
      <c r="D40" s="168" t="s">
        <v>51</v>
      </c>
      <c r="E40" s="173"/>
      <c r="F40" s="173"/>
      <c r="G40" s="173"/>
      <c r="H40" s="173"/>
      <c r="I40" s="172"/>
      <c r="J40" s="67"/>
      <c r="K40" s="27"/>
    </row>
    <row r="41" spans="2:14" ht="15" x14ac:dyDescent="0.2">
      <c r="B41" s="62"/>
      <c r="C41" s="170"/>
      <c r="D41" s="168"/>
      <c r="E41" s="168"/>
      <c r="F41" s="168"/>
      <c r="G41" s="172"/>
      <c r="H41" s="172"/>
      <c r="I41" s="172"/>
      <c r="J41" s="67"/>
      <c r="K41" s="27"/>
    </row>
    <row r="42" spans="2:14" ht="15" x14ac:dyDescent="0.2">
      <c r="B42" s="62"/>
      <c r="C42" s="170"/>
      <c r="D42" s="168" t="s">
        <v>220</v>
      </c>
      <c r="E42" s="168"/>
      <c r="F42" s="168"/>
      <c r="G42" s="172"/>
      <c r="H42" s="173"/>
      <c r="I42" s="172"/>
      <c r="J42" s="67"/>
      <c r="K42" s="27"/>
    </row>
    <row r="43" spans="2:14" ht="15" x14ac:dyDescent="0.2">
      <c r="B43" s="62"/>
      <c r="C43" s="170"/>
      <c r="D43" s="168" t="s">
        <v>244</v>
      </c>
      <c r="E43" s="168"/>
      <c r="F43" s="168"/>
      <c r="G43" s="172"/>
      <c r="H43" s="172"/>
      <c r="I43" s="172"/>
      <c r="J43" s="67"/>
      <c r="K43" s="27"/>
    </row>
    <row r="44" spans="2:14" ht="15" x14ac:dyDescent="0.2">
      <c r="B44" s="62"/>
      <c r="C44" s="170"/>
      <c r="D44" s="168"/>
      <c r="E44" s="175"/>
      <c r="F44" s="168"/>
      <c r="G44" s="172"/>
      <c r="H44" s="172"/>
      <c r="I44" s="172"/>
      <c r="J44" s="67"/>
      <c r="K44" s="27"/>
      <c r="L44" s="13">
        <f>+H52+H46</f>
        <v>0</v>
      </c>
    </row>
    <row r="45" spans="2:14" ht="15" x14ac:dyDescent="0.2">
      <c r="B45" s="62"/>
      <c r="C45" s="170"/>
      <c r="D45" s="168" t="s">
        <v>222</v>
      </c>
      <c r="E45" s="173"/>
      <c r="F45" s="168"/>
      <c r="G45" s="172"/>
      <c r="H45" s="172"/>
      <c r="I45" s="172"/>
      <c r="J45" s="67"/>
      <c r="K45" s="27"/>
    </row>
    <row r="46" spans="2:14" ht="15" x14ac:dyDescent="0.2">
      <c r="B46" s="62"/>
      <c r="C46" s="170"/>
      <c r="D46" s="168" t="s">
        <v>235</v>
      </c>
      <c r="E46" s="173"/>
      <c r="F46" s="168"/>
      <c r="G46" s="172"/>
      <c r="H46" s="172"/>
      <c r="I46" s="172"/>
      <c r="J46" s="67"/>
      <c r="K46" s="27"/>
    </row>
    <row r="47" spans="2:14" ht="15" x14ac:dyDescent="0.2">
      <c r="B47" s="62"/>
      <c r="C47" s="170"/>
      <c r="D47" s="175"/>
      <c r="E47" s="173"/>
      <c r="F47" s="168"/>
      <c r="G47" s="172"/>
      <c r="H47" s="172"/>
      <c r="I47" s="172"/>
      <c r="J47" s="67"/>
      <c r="K47" s="27"/>
      <c r="L47" s="13">
        <f>+H54-L44</f>
        <v>0</v>
      </c>
    </row>
    <row r="48" spans="2:14" ht="15" x14ac:dyDescent="0.2">
      <c r="B48" s="62"/>
      <c r="C48" s="170"/>
      <c r="D48" s="360" t="s">
        <v>223</v>
      </c>
      <c r="E48" s="360"/>
      <c r="F48" s="360"/>
      <c r="G48" s="359"/>
      <c r="H48" s="359"/>
      <c r="I48" s="360"/>
      <c r="J48" s="67"/>
      <c r="K48" s="27"/>
      <c r="L48" s="13">
        <f>+L47-H39</f>
        <v>0</v>
      </c>
    </row>
    <row r="49" spans="2:13" ht="15" x14ac:dyDescent="0.2">
      <c r="B49" s="62"/>
      <c r="C49" s="170"/>
      <c r="D49" s="357" t="s">
        <v>224</v>
      </c>
      <c r="E49" s="358"/>
      <c r="F49" s="360"/>
      <c r="G49" s="359"/>
      <c r="H49" s="359"/>
      <c r="I49" s="359"/>
      <c r="J49" s="67"/>
      <c r="K49" s="27"/>
      <c r="L49" s="13">
        <f>+H33+H39</f>
        <v>0</v>
      </c>
    </row>
    <row r="50" spans="2:13" ht="15" x14ac:dyDescent="0.2">
      <c r="B50" s="62"/>
      <c r="C50" s="170"/>
      <c r="D50" s="360" t="s">
        <v>259</v>
      </c>
      <c r="E50" s="360"/>
      <c r="F50" s="360"/>
      <c r="G50" s="359"/>
      <c r="H50" s="359"/>
      <c r="I50" s="359"/>
      <c r="J50" s="67"/>
      <c r="K50" s="27"/>
      <c r="L50" s="7"/>
    </row>
    <row r="51" spans="2:13" ht="15" x14ac:dyDescent="0.2">
      <c r="B51" s="62"/>
      <c r="C51" s="170"/>
      <c r="D51" s="357" t="s">
        <v>52</v>
      </c>
      <c r="E51" s="360"/>
      <c r="F51" s="360"/>
      <c r="G51" s="359"/>
      <c r="H51" s="359"/>
      <c r="I51" s="360"/>
      <c r="J51" s="67"/>
      <c r="K51" s="27"/>
    </row>
    <row r="52" spans="2:13" ht="15" x14ac:dyDescent="0.2">
      <c r="B52" s="62"/>
      <c r="C52" s="170"/>
      <c r="D52" s="173"/>
      <c r="E52" s="173"/>
      <c r="F52" s="173"/>
      <c r="G52" s="172"/>
      <c r="H52" s="172"/>
      <c r="I52" s="173"/>
      <c r="J52" s="67"/>
      <c r="K52" s="27"/>
      <c r="L52" s="33"/>
    </row>
    <row r="53" spans="2:13" ht="15" x14ac:dyDescent="0.2">
      <c r="B53" s="62"/>
      <c r="C53" s="170"/>
      <c r="D53" s="175"/>
      <c r="E53" s="173"/>
      <c r="F53" s="173"/>
      <c r="G53" s="172"/>
      <c r="H53" s="172"/>
      <c r="I53" s="173"/>
      <c r="J53" s="67"/>
      <c r="K53" s="27"/>
    </row>
    <row r="54" spans="2:13" ht="15" x14ac:dyDescent="0.2">
      <c r="B54" s="62"/>
      <c r="C54" s="194" t="s">
        <v>16</v>
      </c>
      <c r="D54" s="167" t="s">
        <v>53</v>
      </c>
      <c r="E54" s="168"/>
      <c r="F54" s="168"/>
      <c r="G54" s="168"/>
      <c r="H54" s="176"/>
      <c r="I54" s="173"/>
      <c r="J54" s="67"/>
      <c r="K54" s="27"/>
    </row>
    <row r="55" spans="2:13" ht="15" x14ac:dyDescent="0.2">
      <c r="B55" s="62"/>
      <c r="C55" s="194"/>
      <c r="D55" s="167"/>
      <c r="E55" s="168"/>
      <c r="F55" s="168"/>
      <c r="G55" s="168"/>
      <c r="H55" s="176"/>
      <c r="I55" s="173"/>
      <c r="J55" s="67"/>
      <c r="K55" s="27"/>
    </row>
    <row r="56" spans="2:13" ht="15" x14ac:dyDescent="0.2">
      <c r="B56" s="62"/>
      <c r="C56" s="177"/>
      <c r="D56" s="168" t="s">
        <v>228</v>
      </c>
      <c r="E56" s="166"/>
      <c r="F56" s="168"/>
      <c r="G56" s="168"/>
      <c r="H56" s="176"/>
      <c r="I56" s="173"/>
      <c r="J56" s="67"/>
      <c r="K56" s="27"/>
      <c r="M56" s="7"/>
    </row>
    <row r="57" spans="2:13" ht="13.5" customHeight="1" x14ac:dyDescent="0.2">
      <c r="B57" s="62"/>
      <c r="C57" s="194"/>
      <c r="D57" s="168" t="s">
        <v>229</v>
      </c>
      <c r="E57" s="166"/>
      <c r="F57" s="168"/>
      <c r="G57" s="172"/>
      <c r="H57" s="178"/>
      <c r="I57" s="173"/>
      <c r="J57" s="67"/>
      <c r="K57" s="27"/>
      <c r="L57" s="13">
        <f>2900464.28-2797400</f>
        <v>103064.2799999998</v>
      </c>
      <c r="M57" s="7"/>
    </row>
    <row r="58" spans="2:13" ht="15" x14ac:dyDescent="0.2">
      <c r="B58" s="62"/>
      <c r="C58" s="194"/>
      <c r="D58" s="168"/>
      <c r="E58" s="168"/>
      <c r="F58" s="168"/>
      <c r="G58" s="172"/>
      <c r="H58" s="172"/>
      <c r="I58" s="173"/>
      <c r="J58" s="67"/>
      <c r="K58" s="27"/>
    </row>
    <row r="59" spans="2:13" ht="15" x14ac:dyDescent="0.2">
      <c r="B59" s="62"/>
      <c r="C59" s="194" t="s">
        <v>17</v>
      </c>
      <c r="D59" s="167" t="s">
        <v>221</v>
      </c>
      <c r="E59" s="168"/>
      <c r="F59" s="168"/>
      <c r="G59" s="172"/>
      <c r="H59" s="176"/>
      <c r="I59" s="172"/>
      <c r="J59" s="67"/>
      <c r="K59" s="27"/>
      <c r="M59" s="7"/>
    </row>
    <row r="60" spans="2:13" ht="15" x14ac:dyDescent="0.2">
      <c r="B60" s="62"/>
      <c r="C60" s="194"/>
      <c r="D60" s="167"/>
      <c r="E60" s="168"/>
      <c r="F60" s="168"/>
      <c r="G60" s="172"/>
      <c r="H60" s="176"/>
      <c r="I60" s="172"/>
      <c r="J60" s="67"/>
      <c r="K60" s="27"/>
      <c r="M60" s="7"/>
    </row>
    <row r="61" spans="2:13" ht="14.25" customHeight="1" x14ac:dyDescent="0.2">
      <c r="B61" s="62"/>
      <c r="C61" s="194"/>
      <c r="D61" s="168" t="s">
        <v>242</v>
      </c>
      <c r="E61" s="166"/>
      <c r="F61" s="168"/>
      <c r="G61" s="168"/>
      <c r="H61" s="176"/>
      <c r="I61" s="168"/>
      <c r="J61" s="67"/>
      <c r="K61" s="27"/>
    </row>
    <row r="62" spans="2:13" ht="13.5" customHeight="1" x14ac:dyDescent="0.2">
      <c r="B62" s="62"/>
      <c r="C62" s="169"/>
      <c r="D62" s="168" t="s">
        <v>261</v>
      </c>
      <c r="E62" s="168"/>
      <c r="F62" s="168"/>
      <c r="G62" s="168"/>
      <c r="H62" s="176"/>
      <c r="I62" s="172"/>
      <c r="J62" s="67"/>
      <c r="K62" s="27"/>
    </row>
    <row r="63" spans="2:13" ht="15" hidden="1" x14ac:dyDescent="0.2">
      <c r="B63" s="62"/>
      <c r="C63" s="169"/>
      <c r="D63" s="168"/>
      <c r="E63" s="168"/>
      <c r="F63" s="168"/>
      <c r="G63" s="168"/>
      <c r="H63" s="179"/>
      <c r="I63" s="168"/>
      <c r="J63" s="67"/>
      <c r="K63" s="27"/>
    </row>
    <row r="64" spans="2:13" ht="15" x14ac:dyDescent="0.2">
      <c r="B64" s="62"/>
      <c r="C64" s="169"/>
      <c r="D64" s="168" t="s">
        <v>260</v>
      </c>
      <c r="E64" s="168"/>
      <c r="F64" s="168"/>
      <c r="G64" s="168"/>
      <c r="H64" s="179"/>
      <c r="I64" s="168"/>
      <c r="J64" s="67"/>
      <c r="K64" s="27"/>
    </row>
    <row r="65" spans="1:14" ht="15" hidden="1" x14ac:dyDescent="0.2">
      <c r="B65" s="62"/>
      <c r="C65" s="169"/>
      <c r="D65" s="168"/>
      <c r="E65" s="168"/>
      <c r="F65" s="168"/>
      <c r="G65" s="168"/>
      <c r="H65" s="179"/>
      <c r="I65" s="168"/>
      <c r="J65" s="67"/>
      <c r="K65" s="27"/>
      <c r="L65" s="13">
        <v>1577007.7</v>
      </c>
    </row>
    <row r="66" spans="1:14" ht="15" x14ac:dyDescent="0.2">
      <c r="B66" s="62"/>
      <c r="C66" s="169"/>
      <c r="D66" s="168"/>
      <c r="E66" s="168"/>
      <c r="F66" s="168"/>
      <c r="G66" s="168"/>
      <c r="H66" s="176"/>
      <c r="I66" s="168"/>
      <c r="J66" s="67"/>
      <c r="K66" s="27"/>
    </row>
    <row r="67" spans="1:14" ht="17.25" customHeight="1" x14ac:dyDescent="0.2">
      <c r="B67" s="62"/>
      <c r="C67" s="194"/>
      <c r="D67" s="168" t="s">
        <v>270</v>
      </c>
      <c r="E67" s="166"/>
      <c r="F67" s="173"/>
      <c r="G67" s="180"/>
      <c r="H67" s="181"/>
      <c r="I67" s="182"/>
      <c r="J67" s="67"/>
      <c r="K67" s="27"/>
      <c r="N67" s="7"/>
    </row>
    <row r="68" spans="1:14" ht="13.5" customHeight="1" x14ac:dyDescent="0.2">
      <c r="B68" s="62"/>
      <c r="C68" s="194"/>
      <c r="D68" s="168" t="s">
        <v>268</v>
      </c>
      <c r="E68" s="166"/>
      <c r="F68" s="173"/>
      <c r="G68" s="180"/>
      <c r="H68" s="181"/>
      <c r="I68" s="182"/>
      <c r="J68" s="67"/>
      <c r="K68" s="27"/>
      <c r="N68" s="7"/>
    </row>
    <row r="69" spans="1:14" ht="15" x14ac:dyDescent="0.2">
      <c r="B69" s="62"/>
      <c r="C69" s="169"/>
      <c r="D69" s="168" t="s">
        <v>269</v>
      </c>
      <c r="E69" s="166"/>
      <c r="F69" s="183"/>
      <c r="G69" s="172"/>
      <c r="H69" s="184"/>
      <c r="I69" s="168"/>
      <c r="J69" s="67"/>
      <c r="K69" s="27"/>
      <c r="L69" s="31"/>
    </row>
    <row r="70" spans="1:14" ht="15" x14ac:dyDescent="0.2">
      <c r="B70" s="62"/>
      <c r="C70" s="169"/>
      <c r="D70" s="168"/>
      <c r="E70" s="168"/>
      <c r="F70" s="172"/>
      <c r="G70" s="168"/>
      <c r="H70" s="173"/>
      <c r="I70" s="185"/>
      <c r="J70" s="67"/>
      <c r="K70" s="27"/>
      <c r="L70" s="31"/>
    </row>
    <row r="71" spans="1:14" ht="17.25" customHeight="1" x14ac:dyDescent="0.2">
      <c r="B71" s="62"/>
      <c r="C71" s="194" t="s">
        <v>18</v>
      </c>
      <c r="D71" s="186" t="s">
        <v>54</v>
      </c>
      <c r="E71" s="168"/>
      <c r="F71" s="173"/>
      <c r="G71" s="172"/>
      <c r="H71" s="187"/>
      <c r="I71" s="187"/>
      <c r="J71" s="67"/>
      <c r="K71" s="27"/>
    </row>
    <row r="72" spans="1:14" ht="14.25" customHeight="1" x14ac:dyDescent="0.2">
      <c r="A72" s="8"/>
      <c r="B72" s="62"/>
      <c r="C72" s="168"/>
      <c r="D72" s="177"/>
      <c r="E72" s="168"/>
      <c r="F72" s="173"/>
      <c r="G72" s="172"/>
      <c r="H72" s="187"/>
      <c r="I72" s="187"/>
      <c r="J72" s="67"/>
      <c r="K72" s="27"/>
    </row>
    <row r="73" spans="1:14" ht="15" x14ac:dyDescent="0.2">
      <c r="B73" s="62"/>
      <c r="C73" s="168"/>
      <c r="D73" s="168" t="s">
        <v>262</v>
      </c>
      <c r="E73" s="168"/>
      <c r="F73" s="184"/>
      <c r="G73" s="172"/>
      <c r="H73" s="187"/>
      <c r="I73" s="187"/>
      <c r="J73" s="67"/>
      <c r="K73" s="27"/>
    </row>
    <row r="74" spans="1:14" ht="15.75" customHeight="1" x14ac:dyDescent="0.2">
      <c r="A74" s="8"/>
      <c r="B74" s="62"/>
      <c r="C74" s="168"/>
      <c r="D74" s="168"/>
      <c r="E74" s="168"/>
      <c r="F74" s="173"/>
      <c r="G74" s="172"/>
      <c r="H74" s="188"/>
      <c r="I74" s="187"/>
      <c r="J74" s="67"/>
      <c r="K74" s="27"/>
    </row>
    <row r="75" spans="1:14" ht="15" x14ac:dyDescent="0.2">
      <c r="A75" s="8"/>
      <c r="B75" s="62"/>
      <c r="C75" s="168"/>
      <c r="D75" s="168"/>
      <c r="E75" s="168"/>
      <c r="F75" s="173"/>
      <c r="G75" s="172"/>
      <c r="H75" s="187"/>
      <c r="I75" s="187"/>
      <c r="J75" s="67"/>
      <c r="K75" s="27"/>
    </row>
    <row r="76" spans="1:14" ht="15" hidden="1" x14ac:dyDescent="0.2">
      <c r="B76" s="62"/>
      <c r="C76" s="168"/>
      <c r="D76" s="168"/>
      <c r="E76" s="168"/>
      <c r="F76" s="173"/>
      <c r="G76" s="172"/>
      <c r="H76" s="187"/>
      <c r="I76" s="187"/>
      <c r="J76" s="67"/>
      <c r="K76" s="27"/>
    </row>
    <row r="77" spans="1:14" ht="15" x14ac:dyDescent="0.2">
      <c r="B77" s="62"/>
      <c r="C77" s="168"/>
      <c r="D77" s="168" t="s">
        <v>263</v>
      </c>
      <c r="E77" s="168"/>
      <c r="F77" s="173"/>
      <c r="G77" s="189"/>
      <c r="H77" s="187"/>
      <c r="I77" s="187"/>
      <c r="J77" s="67"/>
      <c r="K77" s="27"/>
    </row>
    <row r="78" spans="1:14" ht="15" x14ac:dyDescent="0.2">
      <c r="B78" s="62"/>
      <c r="C78" s="168"/>
      <c r="D78" s="168" t="s">
        <v>264</v>
      </c>
      <c r="E78" s="168"/>
      <c r="F78" s="173"/>
      <c r="G78" s="172"/>
      <c r="H78" s="187"/>
      <c r="I78" s="187"/>
      <c r="J78" s="67"/>
      <c r="K78" s="27"/>
    </row>
    <row r="79" spans="1:14" ht="15" x14ac:dyDescent="0.2">
      <c r="B79" s="62"/>
      <c r="C79" s="168"/>
      <c r="D79" s="168" t="s">
        <v>265</v>
      </c>
      <c r="E79" s="168"/>
      <c r="F79" s="173"/>
      <c r="G79" s="172"/>
      <c r="H79" s="187"/>
      <c r="I79" s="187"/>
      <c r="J79" s="67"/>
      <c r="K79" s="27"/>
    </row>
    <row r="80" spans="1:14" ht="15" x14ac:dyDescent="0.2">
      <c r="B80" s="62"/>
      <c r="C80" s="173"/>
      <c r="D80" s="173"/>
      <c r="E80" s="168"/>
      <c r="F80" s="173"/>
      <c r="G80" s="190"/>
      <c r="H80" s="190"/>
      <c r="I80" s="190"/>
      <c r="J80" s="67"/>
      <c r="K80" s="27"/>
    </row>
    <row r="81" spans="2:13" ht="15" x14ac:dyDescent="0.2">
      <c r="B81" s="62"/>
      <c r="C81" s="173"/>
      <c r="D81" s="173" t="s">
        <v>266</v>
      </c>
      <c r="E81" s="168"/>
      <c r="F81" s="168"/>
      <c r="G81" s="187"/>
      <c r="H81" s="187"/>
      <c r="I81" s="187"/>
      <c r="J81" s="67"/>
      <c r="K81" s="27"/>
    </row>
    <row r="82" spans="2:13" ht="15" x14ac:dyDescent="0.2">
      <c r="B82" s="62"/>
      <c r="C82" s="173"/>
      <c r="D82" s="173" t="s">
        <v>267</v>
      </c>
      <c r="E82" s="168"/>
      <c r="F82" s="168"/>
      <c r="G82" s="187"/>
      <c r="H82" s="187"/>
      <c r="I82" s="187"/>
      <c r="J82" s="67"/>
      <c r="K82" s="27"/>
    </row>
    <row r="83" spans="2:13" ht="15" x14ac:dyDescent="0.2">
      <c r="B83" s="62"/>
      <c r="C83" s="173"/>
      <c r="D83" s="173"/>
      <c r="E83" s="168"/>
      <c r="F83" s="168"/>
      <c r="G83" s="187"/>
      <c r="H83" s="187"/>
      <c r="I83" s="187"/>
      <c r="J83" s="67"/>
      <c r="K83" s="27"/>
    </row>
    <row r="84" spans="2:13" ht="15.75" thickBot="1" x14ac:dyDescent="0.25">
      <c r="B84" s="81"/>
      <c r="C84" s="191"/>
      <c r="D84" s="191"/>
      <c r="E84" s="192"/>
      <c r="F84" s="192"/>
      <c r="G84" s="193"/>
      <c r="H84" s="193"/>
      <c r="I84" s="193"/>
      <c r="J84" s="82"/>
      <c r="K84" s="27"/>
    </row>
    <row r="85" spans="2:13" ht="15" thickTop="1" x14ac:dyDescent="0.2">
      <c r="C85" s="48"/>
    </row>
    <row r="86" spans="2:13" x14ac:dyDescent="0.2">
      <c r="H86" s="23"/>
    </row>
    <row r="87" spans="2:13" x14ac:dyDescent="0.2">
      <c r="H87" s="23"/>
    </row>
    <row r="88" spans="2:13" x14ac:dyDescent="0.2">
      <c r="D88" s="34"/>
      <c r="E88" s="36"/>
      <c r="F88" s="9"/>
      <c r="G88" s="35"/>
      <c r="H88" s="27"/>
    </row>
    <row r="89" spans="2:13" x14ac:dyDescent="0.2">
      <c r="D89" s="34"/>
      <c r="E89" s="36"/>
      <c r="F89" s="9"/>
      <c r="G89" s="35"/>
      <c r="H89" s="27"/>
      <c r="M89" s="60"/>
    </row>
    <row r="90" spans="2:13" x14ac:dyDescent="0.2">
      <c r="H90" s="37"/>
      <c r="M90" s="60"/>
    </row>
    <row r="91" spans="2:13" x14ac:dyDescent="0.2">
      <c r="H91" s="37"/>
      <c r="M91" s="60"/>
    </row>
    <row r="92" spans="2:13" ht="15" x14ac:dyDescent="0.2">
      <c r="H92" s="37"/>
      <c r="M92" s="136"/>
    </row>
    <row r="93" spans="2:13" ht="15" x14ac:dyDescent="0.2">
      <c r="H93" s="37"/>
      <c r="M93" s="136"/>
    </row>
    <row r="94" spans="2:13" ht="15" x14ac:dyDescent="0.2">
      <c r="H94" s="37"/>
      <c r="M94" s="136"/>
    </row>
    <row r="95" spans="2:13" ht="15" x14ac:dyDescent="0.2">
      <c r="H95" s="37"/>
      <c r="M95" s="136"/>
    </row>
    <row r="96" spans="2:13" ht="15" x14ac:dyDescent="0.2">
      <c r="H96" s="37"/>
      <c r="M96" s="136"/>
    </row>
    <row r="97" spans="8:13" ht="15" x14ac:dyDescent="0.2">
      <c r="H97" s="37"/>
      <c r="M97" s="136"/>
    </row>
    <row r="98" spans="8:13" x14ac:dyDescent="0.2">
      <c r="H98" s="37"/>
      <c r="M98" s="60"/>
    </row>
    <row r="99" spans="8:13" x14ac:dyDescent="0.2">
      <c r="H99" s="37"/>
      <c r="M99" s="60"/>
    </row>
    <row r="100" spans="8:13" x14ac:dyDescent="0.2">
      <c r="H100" s="37"/>
      <c r="M100" s="60"/>
    </row>
    <row r="101" spans="8:13" x14ac:dyDescent="0.2">
      <c r="H101" s="37"/>
      <c r="M101" s="60"/>
    </row>
    <row r="102" spans="8:13" x14ac:dyDescent="0.2">
      <c r="H102" s="38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39997558519241921"/>
  </sheetPr>
  <dimension ref="C2:N165"/>
  <sheetViews>
    <sheetView topLeftCell="C1" zoomScale="120" zoomScaleNormal="120" workbookViewId="0">
      <selection activeCell="N54" sqref="N54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4" width="11.42578125" style="2" customWidth="1"/>
    <col min="15" max="16384" width="11.42578125" style="1"/>
  </cols>
  <sheetData>
    <row r="2" spans="3:11" ht="15.75" thickBot="1" x14ac:dyDescent="0.25"/>
    <row r="3" spans="3:11" ht="15.75" thickTop="1" x14ac:dyDescent="0.2">
      <c r="C3" s="237"/>
      <c r="D3" s="238"/>
      <c r="E3" s="238"/>
      <c r="F3" s="238"/>
      <c r="G3" s="238"/>
      <c r="H3" s="238"/>
      <c r="I3" s="238"/>
      <c r="J3" s="238"/>
      <c r="K3" s="239"/>
    </row>
    <row r="4" spans="3:11" x14ac:dyDescent="0.2">
      <c r="C4" s="240"/>
      <c r="D4" s="407"/>
      <c r="E4" s="407"/>
      <c r="F4" s="407"/>
      <c r="G4" s="407"/>
      <c r="H4" s="407"/>
      <c r="I4" s="407"/>
      <c r="J4" s="407"/>
      <c r="K4" s="241"/>
    </row>
    <row r="5" spans="3:11" x14ac:dyDescent="0.2">
      <c r="C5" s="240"/>
      <c r="D5" s="407"/>
      <c r="E5" s="407"/>
      <c r="F5" s="407"/>
      <c r="G5" s="407"/>
      <c r="H5" s="407"/>
      <c r="I5" s="407"/>
      <c r="J5" s="407"/>
      <c r="K5" s="241"/>
    </row>
    <row r="6" spans="3:11" x14ac:dyDescent="0.2">
      <c r="C6" s="401" t="s">
        <v>190</v>
      </c>
      <c r="D6" s="402"/>
      <c r="E6" s="402"/>
      <c r="F6" s="402"/>
      <c r="G6" s="402"/>
      <c r="H6" s="402"/>
      <c r="I6" s="402"/>
      <c r="J6" s="402"/>
      <c r="K6" s="403"/>
    </row>
    <row r="7" spans="3:11" x14ac:dyDescent="0.2">
      <c r="C7" s="401" t="s">
        <v>271</v>
      </c>
      <c r="D7" s="402"/>
      <c r="E7" s="402"/>
      <c r="F7" s="402"/>
      <c r="G7" s="402"/>
      <c r="H7" s="402"/>
      <c r="I7" s="402"/>
      <c r="J7" s="402"/>
      <c r="K7" s="403"/>
    </row>
    <row r="8" spans="3:11" x14ac:dyDescent="0.2">
      <c r="C8" s="401" t="s">
        <v>167</v>
      </c>
      <c r="D8" s="402"/>
      <c r="E8" s="402"/>
      <c r="F8" s="402"/>
      <c r="G8" s="402"/>
      <c r="H8" s="402"/>
      <c r="I8" s="402"/>
      <c r="J8" s="402"/>
      <c r="K8" s="403"/>
    </row>
    <row r="9" spans="3:11" ht="15.75" thickBot="1" x14ac:dyDescent="0.25">
      <c r="C9" s="404"/>
      <c r="D9" s="405"/>
      <c r="E9" s="405"/>
      <c r="F9" s="405"/>
      <c r="G9" s="405"/>
      <c r="H9" s="405"/>
      <c r="I9" s="405"/>
      <c r="J9" s="405"/>
      <c r="K9" s="406"/>
    </row>
    <row r="10" spans="3:11" ht="6" customHeight="1" x14ac:dyDescent="0.2">
      <c r="C10" s="242"/>
      <c r="D10" s="198"/>
      <c r="E10" s="198"/>
      <c r="F10" s="198"/>
      <c r="G10" s="198"/>
      <c r="H10" s="198"/>
      <c r="I10" s="198"/>
      <c r="J10" s="198"/>
      <c r="K10" s="243"/>
    </row>
    <row r="11" spans="3:11" ht="18.600000000000001" customHeight="1" x14ac:dyDescent="0.2">
      <c r="C11" s="242"/>
      <c r="D11" s="45" t="s">
        <v>171</v>
      </c>
      <c r="E11" s="199"/>
      <c r="F11" s="293">
        <v>2023</v>
      </c>
      <c r="G11" s="200"/>
      <c r="H11" s="293">
        <v>2022</v>
      </c>
      <c r="I11" s="196"/>
      <c r="J11" s="200" t="s">
        <v>60</v>
      </c>
      <c r="K11" s="244"/>
    </row>
    <row r="12" spans="3:11" ht="3.6" customHeight="1" x14ac:dyDescent="0.2">
      <c r="C12" s="242"/>
      <c r="D12" s="199"/>
      <c r="E12" s="199"/>
      <c r="F12" s="196"/>
      <c r="G12" s="200"/>
      <c r="H12" s="200"/>
      <c r="I12" s="196"/>
      <c r="J12" s="200"/>
      <c r="K12" s="244"/>
    </row>
    <row r="13" spans="3:11" ht="15.6" customHeight="1" x14ac:dyDescent="0.2">
      <c r="C13" s="242"/>
      <c r="D13" s="53" t="s">
        <v>21</v>
      </c>
      <c r="E13" s="196"/>
      <c r="F13" s="196"/>
      <c r="G13" s="196"/>
      <c r="H13" s="201"/>
      <c r="I13" s="196"/>
      <c r="J13" s="196"/>
      <c r="K13" s="244"/>
    </row>
    <row r="14" spans="3:11" x14ac:dyDescent="0.2">
      <c r="C14" s="242"/>
      <c r="D14" s="196" t="s">
        <v>22</v>
      </c>
      <c r="E14" s="196"/>
      <c r="F14" s="311">
        <f>+'NOTAS   '!H22+'NOTAS   '!H28</f>
        <v>66169889.390000001</v>
      </c>
      <c r="G14" s="196"/>
      <c r="H14" s="311">
        <v>48000205</v>
      </c>
      <c r="I14" s="196"/>
      <c r="J14" s="203">
        <v>1462536.8</v>
      </c>
      <c r="K14" s="244"/>
    </row>
    <row r="15" spans="3:11" x14ac:dyDescent="0.2">
      <c r="C15" s="242"/>
      <c r="D15" s="196" t="s">
        <v>247</v>
      </c>
      <c r="E15" s="196"/>
      <c r="F15" s="311">
        <f>+'NOTAS   '!H44</f>
        <v>405042820.68000001</v>
      </c>
      <c r="G15" s="196"/>
      <c r="H15" s="311">
        <v>710293519.25999999</v>
      </c>
      <c r="I15" s="196"/>
      <c r="J15" s="203"/>
      <c r="K15" s="244"/>
    </row>
    <row r="16" spans="3:11" x14ac:dyDescent="0.2">
      <c r="C16" s="242"/>
      <c r="D16" s="196" t="s">
        <v>23</v>
      </c>
      <c r="E16" s="196"/>
      <c r="F16" s="311">
        <v>2797749</v>
      </c>
      <c r="G16" s="196"/>
      <c r="H16" s="311">
        <v>2797749</v>
      </c>
      <c r="I16" s="196"/>
      <c r="J16" s="203"/>
      <c r="K16" s="244"/>
    </row>
    <row r="17" spans="3:11" x14ac:dyDescent="0.2">
      <c r="C17" s="242"/>
      <c r="D17" s="196" t="s">
        <v>46</v>
      </c>
      <c r="E17" s="196"/>
      <c r="F17" s="311">
        <v>74773.86</v>
      </c>
      <c r="G17" s="196"/>
      <c r="H17" s="311">
        <v>641063.82999999996</v>
      </c>
      <c r="I17" s="196"/>
      <c r="J17" s="203"/>
      <c r="K17" s="244"/>
    </row>
    <row r="18" spans="3:11" x14ac:dyDescent="0.2">
      <c r="C18" s="242"/>
      <c r="D18" s="196" t="s">
        <v>180</v>
      </c>
      <c r="E18" s="196"/>
      <c r="F18" s="311">
        <v>2686437.23</v>
      </c>
      <c r="G18" s="205"/>
      <c r="H18" s="311">
        <v>2329427.86</v>
      </c>
      <c r="I18" s="196"/>
      <c r="J18" s="205"/>
      <c r="K18" s="244"/>
    </row>
    <row r="19" spans="3:11" x14ac:dyDescent="0.2">
      <c r="C19" s="242"/>
      <c r="D19" s="196" t="s">
        <v>24</v>
      </c>
      <c r="E19" s="196"/>
      <c r="F19" s="311">
        <f>+'NOTAS   '!H57</f>
        <v>5817613.9800000004</v>
      </c>
      <c r="G19" s="205"/>
      <c r="H19" s="311">
        <v>4503132</v>
      </c>
      <c r="I19" s="196"/>
      <c r="J19" s="205"/>
      <c r="K19" s="244"/>
    </row>
    <row r="20" spans="3:11" x14ac:dyDescent="0.2">
      <c r="C20" s="242"/>
      <c r="D20" s="196" t="s">
        <v>62</v>
      </c>
      <c r="E20" s="196"/>
      <c r="F20" s="311">
        <v>251373347.28</v>
      </c>
      <c r="G20" s="205"/>
      <c r="H20" s="311">
        <v>262026446</v>
      </c>
      <c r="I20" s="196"/>
      <c r="J20" s="205"/>
      <c r="K20" s="244"/>
    </row>
    <row r="21" spans="3:11" x14ac:dyDescent="0.2">
      <c r="C21" s="242"/>
      <c r="D21" s="196" t="s">
        <v>25</v>
      </c>
      <c r="E21" s="196"/>
      <c r="F21" s="311">
        <v>704603891.72000003</v>
      </c>
      <c r="G21" s="205"/>
      <c r="H21" s="311">
        <v>158249014.33000001</v>
      </c>
      <c r="I21" s="196"/>
      <c r="J21" s="205"/>
      <c r="K21" s="244"/>
    </row>
    <row r="22" spans="3:11" x14ac:dyDescent="0.2">
      <c r="C22" s="242"/>
      <c r="D22" s="196" t="s">
        <v>63</v>
      </c>
      <c r="E22" s="196"/>
      <c r="F22" s="312">
        <v>116700000</v>
      </c>
      <c r="G22" s="196"/>
      <c r="H22" s="312">
        <v>121500000</v>
      </c>
      <c r="I22" s="196"/>
      <c r="J22" s="203">
        <f>SUM(J19:J20)</f>
        <v>0</v>
      </c>
      <c r="K22" s="244"/>
    </row>
    <row r="23" spans="3:11" x14ac:dyDescent="0.2">
      <c r="C23" s="242"/>
      <c r="D23" s="164" t="s">
        <v>204</v>
      </c>
      <c r="E23" s="196"/>
      <c r="F23" s="364">
        <f>SUM(F14:F22)</f>
        <v>1555266523.1400001</v>
      </c>
      <c r="G23" s="196"/>
      <c r="H23" s="236">
        <f>SUM(H14:H22)</f>
        <v>1310340557.28</v>
      </c>
      <c r="I23" s="196"/>
      <c r="J23" s="196"/>
      <c r="K23" s="244"/>
    </row>
    <row r="24" spans="3:11" x14ac:dyDescent="0.2">
      <c r="C24" s="242"/>
      <c r="D24" s="292"/>
      <c r="E24" s="196"/>
      <c r="F24" s="365"/>
      <c r="G24" s="196"/>
      <c r="H24" s="202"/>
      <c r="I24" s="196"/>
      <c r="J24" s="196"/>
      <c r="K24" s="244"/>
    </row>
    <row r="25" spans="3:11" x14ac:dyDescent="0.2">
      <c r="C25" s="242"/>
      <c r="D25" s="45" t="s">
        <v>29</v>
      </c>
      <c r="E25" s="196"/>
      <c r="F25" s="366"/>
      <c r="G25" s="206"/>
      <c r="H25" s="207"/>
      <c r="I25" s="196"/>
      <c r="J25" s="205">
        <v>399912.37</v>
      </c>
      <c r="K25" s="244"/>
    </row>
    <row r="26" spans="3:11" x14ac:dyDescent="0.2">
      <c r="C26" s="242"/>
      <c r="D26" s="196" t="s">
        <v>26</v>
      </c>
      <c r="E26" s="204"/>
      <c r="F26" s="311">
        <f>+'NOTAS   '!G81+1</f>
        <v>492234080.36999995</v>
      </c>
      <c r="G26" s="196"/>
      <c r="H26" s="197">
        <v>486294837.84000003</v>
      </c>
      <c r="I26" s="196"/>
      <c r="J26" s="205"/>
      <c r="K26" s="244"/>
    </row>
    <row r="27" spans="3:11" ht="14.45" customHeight="1" x14ac:dyDescent="0.2">
      <c r="C27" s="242"/>
      <c r="D27" s="196" t="s">
        <v>186</v>
      </c>
      <c r="E27" s="196"/>
      <c r="F27" s="367">
        <f>-'NOTAS   '!H81</f>
        <v>-161520213.16</v>
      </c>
      <c r="G27" s="196"/>
      <c r="H27" s="212">
        <v>-159535412.05000001</v>
      </c>
      <c r="I27" s="196"/>
      <c r="J27" s="205"/>
      <c r="K27" s="244"/>
    </row>
    <row r="28" spans="3:11" ht="13.9" customHeight="1" x14ac:dyDescent="0.2">
      <c r="C28" s="242"/>
      <c r="D28" s="196" t="s">
        <v>183</v>
      </c>
      <c r="E28" s="196"/>
      <c r="F28" s="368">
        <v>607392</v>
      </c>
      <c r="G28" s="196"/>
      <c r="H28" s="303">
        <v>607392</v>
      </c>
      <c r="I28" s="196"/>
      <c r="J28" s="205"/>
      <c r="K28" s="244"/>
    </row>
    <row r="29" spans="3:11" ht="17.25" customHeight="1" x14ac:dyDescent="0.2">
      <c r="C29" s="242"/>
      <c r="D29" s="164" t="s">
        <v>205</v>
      </c>
      <c r="E29" s="208"/>
      <c r="F29" s="369">
        <f>SUM(F26:F28)</f>
        <v>331321259.20999992</v>
      </c>
      <c r="G29" s="196"/>
      <c r="H29" s="236">
        <f>SUM(H26:H28)</f>
        <v>327366817.79000002</v>
      </c>
      <c r="I29" s="196"/>
      <c r="J29" s="205"/>
      <c r="K29" s="244"/>
    </row>
    <row r="30" spans="3:11" ht="17.25" customHeight="1" x14ac:dyDescent="0.2">
      <c r="C30" s="242"/>
      <c r="D30" s="196"/>
      <c r="E30" s="196"/>
      <c r="F30" s="196"/>
      <c r="G30" s="196"/>
      <c r="H30" s="202"/>
      <c r="I30" s="196"/>
      <c r="J30" s="203">
        <f>SUM(J25:J25)</f>
        <v>399912.37</v>
      </c>
      <c r="K30" s="244"/>
    </row>
    <row r="31" spans="3:11" ht="16.149999999999999" customHeight="1" thickBot="1" x14ac:dyDescent="0.25">
      <c r="C31" s="242"/>
      <c r="D31" s="164" t="s">
        <v>37</v>
      </c>
      <c r="E31" s="196"/>
      <c r="F31" s="155">
        <f>+F29+F23</f>
        <v>1886587782.3499999</v>
      </c>
      <c r="G31" s="291"/>
      <c r="H31" s="155">
        <f>+H23+H29</f>
        <v>1637707375.0699999</v>
      </c>
      <c r="I31" s="196"/>
      <c r="J31" s="211">
        <f>+J14+J22+J30</f>
        <v>1862449.17</v>
      </c>
      <c r="K31" s="244"/>
    </row>
    <row r="32" spans="3:11" ht="10.9" customHeight="1" thickTop="1" x14ac:dyDescent="0.2">
      <c r="C32" s="242"/>
      <c r="D32" s="196"/>
      <c r="E32" s="196"/>
      <c r="F32" s="196"/>
      <c r="G32" s="196"/>
      <c r="H32" s="203"/>
      <c r="I32" s="196"/>
      <c r="J32" s="196"/>
      <c r="K32" s="244"/>
    </row>
    <row r="33" spans="3:12" ht="16.899999999999999" customHeight="1" x14ac:dyDescent="0.2">
      <c r="C33" s="242"/>
      <c r="D33" s="45" t="s">
        <v>28</v>
      </c>
      <c r="E33" s="196"/>
      <c r="F33" s="300"/>
      <c r="G33" s="205"/>
      <c r="H33" s="201"/>
      <c r="I33" s="196"/>
      <c r="J33" s="210">
        <v>-9259239.8100000005</v>
      </c>
      <c r="K33" s="244"/>
    </row>
    <row r="34" spans="3:12" ht="17.45" customHeight="1" x14ac:dyDescent="0.2">
      <c r="C34" s="242"/>
      <c r="D34" s="204" t="s">
        <v>34</v>
      </c>
      <c r="E34" s="196"/>
      <c r="F34" s="203"/>
      <c r="G34" s="196"/>
      <c r="H34" s="196"/>
      <c r="I34" s="196"/>
      <c r="J34" s="205"/>
      <c r="K34" s="244"/>
    </row>
    <row r="35" spans="3:12" ht="12.6" customHeight="1" x14ac:dyDescent="0.2">
      <c r="C35" s="245"/>
      <c r="D35" s="196" t="s">
        <v>32</v>
      </c>
      <c r="E35" s="204"/>
      <c r="F35" s="213">
        <f>+'NOTAS   '!H120</f>
        <v>12159449.25</v>
      </c>
      <c r="G35" s="196"/>
      <c r="H35" s="213">
        <v>16769809.300000001</v>
      </c>
      <c r="I35" s="196"/>
      <c r="J35" s="196"/>
      <c r="K35" s="244"/>
    </row>
    <row r="36" spans="3:12" ht="13.9" customHeight="1" x14ac:dyDescent="0.2">
      <c r="C36" s="245"/>
      <c r="D36" s="196" t="s">
        <v>31</v>
      </c>
      <c r="E36" s="204"/>
      <c r="F36" s="213">
        <f>+'NOTAS   '!H147</f>
        <v>50608545.829999998</v>
      </c>
      <c r="G36" s="200"/>
      <c r="H36" s="213">
        <v>44320994.409999996</v>
      </c>
      <c r="I36" s="196"/>
      <c r="J36" s="200" t="s">
        <v>60</v>
      </c>
      <c r="K36" s="244"/>
    </row>
    <row r="37" spans="3:12" ht="12.6" customHeight="1" x14ac:dyDescent="0.2">
      <c r="C37" s="245"/>
      <c r="D37" s="196" t="s">
        <v>122</v>
      </c>
      <c r="E37" s="204"/>
      <c r="F37" s="349">
        <v>115736.11</v>
      </c>
      <c r="G37" s="200"/>
      <c r="H37" s="214">
        <v>65939.55</v>
      </c>
      <c r="I37" s="196"/>
      <c r="J37" s="200"/>
      <c r="K37" s="244"/>
    </row>
    <row r="38" spans="3:12" ht="15" customHeight="1" x14ac:dyDescent="0.2">
      <c r="C38" s="245"/>
      <c r="D38" s="164" t="s">
        <v>202</v>
      </c>
      <c r="E38" s="196"/>
      <c r="F38" s="49">
        <f>SUM(F35:F37)</f>
        <v>62883731.189999998</v>
      </c>
      <c r="G38" s="205"/>
      <c r="H38" s="122">
        <f>SUM(H35:H37)</f>
        <v>61156743.25999999</v>
      </c>
      <c r="I38" s="196"/>
      <c r="J38" s="205"/>
      <c r="K38" s="244"/>
      <c r="L38" s="124"/>
    </row>
    <row r="39" spans="3:12" ht="12" customHeight="1" x14ac:dyDescent="0.2">
      <c r="C39" s="245"/>
      <c r="D39" s="196"/>
      <c r="E39" s="196"/>
      <c r="F39" s="196"/>
      <c r="G39" s="205"/>
      <c r="H39" s="205"/>
      <c r="I39" s="196"/>
      <c r="J39" s="205"/>
      <c r="K39" s="244"/>
      <c r="L39" s="124"/>
    </row>
    <row r="40" spans="3:12" x14ac:dyDescent="0.2">
      <c r="C40" s="245"/>
      <c r="D40" s="45" t="s">
        <v>33</v>
      </c>
      <c r="E40" s="196"/>
      <c r="F40" s="196"/>
      <c r="G40" s="205"/>
      <c r="H40" s="205"/>
      <c r="I40" s="196"/>
      <c r="J40" s="205"/>
      <c r="K40" s="244"/>
      <c r="L40" s="124"/>
    </row>
    <row r="41" spans="3:12" x14ac:dyDescent="0.2">
      <c r="C41" s="245"/>
      <c r="D41" s="196" t="s">
        <v>30</v>
      </c>
      <c r="E41" s="204"/>
      <c r="F41" s="213">
        <f>+'NOTAS   '!H127</f>
        <v>1094162310.0799999</v>
      </c>
      <c r="G41" s="205"/>
      <c r="H41" s="205">
        <v>870270986.79999995</v>
      </c>
      <c r="I41" s="196"/>
      <c r="J41" s="205"/>
      <c r="K41" s="244"/>
      <c r="L41" s="124"/>
    </row>
    <row r="42" spans="3:12" ht="12.6" customHeight="1" x14ac:dyDescent="0.2">
      <c r="C42" s="245"/>
      <c r="D42" s="196" t="s">
        <v>156</v>
      </c>
      <c r="E42" s="204"/>
      <c r="F42" s="213">
        <v>15369254.52</v>
      </c>
      <c r="G42" s="205"/>
      <c r="H42" s="205">
        <v>3129421</v>
      </c>
      <c r="I42" s="196"/>
      <c r="J42" s="205"/>
      <c r="K42" s="244"/>
      <c r="L42" s="124"/>
    </row>
    <row r="43" spans="3:12" ht="13.5" customHeight="1" x14ac:dyDescent="0.2">
      <c r="C43" s="245"/>
      <c r="D43" s="196" t="s">
        <v>157</v>
      </c>
      <c r="E43" s="204"/>
      <c r="F43" s="214">
        <v>116700000</v>
      </c>
      <c r="G43" s="205"/>
      <c r="H43" s="210">
        <v>116700000</v>
      </c>
      <c r="I43" s="196"/>
      <c r="J43" s="205"/>
      <c r="K43" s="244"/>
      <c r="L43" s="124"/>
    </row>
    <row r="44" spans="3:12" ht="14.45" customHeight="1" x14ac:dyDescent="0.2">
      <c r="C44" s="245"/>
      <c r="D44" s="164" t="s">
        <v>191</v>
      </c>
      <c r="E44" s="196"/>
      <c r="F44" s="341">
        <f>SUM(F41:F43)</f>
        <v>1226231564.5999999</v>
      </c>
      <c r="G44" s="205"/>
      <c r="H44" s="49">
        <f>SUM(H41:H43)</f>
        <v>990100407.79999995</v>
      </c>
      <c r="I44" s="196"/>
      <c r="J44" s="205"/>
      <c r="K44" s="244"/>
      <c r="L44" s="124"/>
    </row>
    <row r="45" spans="3:12" ht="6.6" customHeight="1" x14ac:dyDescent="0.2">
      <c r="C45" s="245"/>
      <c r="D45" s="292"/>
      <c r="E45" s="196"/>
      <c r="F45" s="201"/>
      <c r="G45" s="205"/>
      <c r="H45" s="224"/>
      <c r="I45" s="196"/>
      <c r="J45" s="205"/>
      <c r="K45" s="244"/>
      <c r="L45" s="124"/>
    </row>
    <row r="46" spans="3:12" ht="19.5" customHeight="1" thickBot="1" x14ac:dyDescent="0.25">
      <c r="C46" s="245"/>
      <c r="D46" s="164" t="s">
        <v>38</v>
      </c>
      <c r="E46" s="208"/>
      <c r="F46" s="227">
        <f>+F38+F44</f>
        <v>1289115295.79</v>
      </c>
      <c r="G46" s="205"/>
      <c r="H46" s="227">
        <f>+H38+H44</f>
        <v>1051257151.0599999</v>
      </c>
      <c r="I46" s="196"/>
      <c r="J46" s="205"/>
      <c r="K46" s="244"/>
      <c r="L46" s="124"/>
    </row>
    <row r="47" spans="3:12" ht="10.9" customHeight="1" thickTop="1" x14ac:dyDescent="0.2">
      <c r="C47" s="245"/>
      <c r="D47" s="225"/>
      <c r="E47" s="196"/>
      <c r="F47" s="196"/>
      <c r="G47" s="203"/>
      <c r="H47" s="209"/>
      <c r="I47" s="196"/>
      <c r="J47" s="203" t="e">
        <f>+#REF!+#REF!+#REF!</f>
        <v>#REF!</v>
      </c>
      <c r="K47" s="244"/>
      <c r="L47" s="124"/>
    </row>
    <row r="48" spans="3:12" ht="13.9" customHeight="1" x14ac:dyDescent="0.2">
      <c r="C48" s="245"/>
      <c r="D48" s="53" t="s">
        <v>192</v>
      </c>
      <c r="E48" s="196"/>
      <c r="F48" s="205"/>
      <c r="G48" s="205"/>
      <c r="H48" s="196"/>
      <c r="I48" s="196"/>
      <c r="J48" s="196"/>
      <c r="K48" s="244"/>
      <c r="L48" s="124"/>
    </row>
    <row r="49" spans="3:14" x14ac:dyDescent="0.2">
      <c r="C49" s="245"/>
      <c r="D49" s="196" t="s">
        <v>43</v>
      </c>
      <c r="E49" s="196"/>
      <c r="F49" s="197">
        <v>94403308</v>
      </c>
      <c r="G49" s="205"/>
      <c r="H49" s="197">
        <v>94403309</v>
      </c>
      <c r="I49" s="196"/>
      <c r="J49" s="210">
        <v>53367236.979999997</v>
      </c>
      <c r="K49" s="244"/>
      <c r="L49" s="124"/>
    </row>
    <row r="50" spans="3:14" x14ac:dyDescent="0.2">
      <c r="C50" s="245"/>
      <c r="D50" s="196" t="s">
        <v>193</v>
      </c>
      <c r="E50" s="196"/>
      <c r="F50" s="197">
        <v>494875188</v>
      </c>
      <c r="G50" s="205"/>
      <c r="H50" s="197">
        <v>493552610</v>
      </c>
      <c r="I50" s="196"/>
      <c r="J50" s="205"/>
      <c r="K50" s="244"/>
      <c r="L50" s="124"/>
    </row>
    <row r="51" spans="3:14" x14ac:dyDescent="0.2">
      <c r="C51" s="245"/>
      <c r="D51" s="196" t="s">
        <v>35</v>
      </c>
      <c r="E51" s="196"/>
      <c r="F51" s="343">
        <v>8193989.5199999958</v>
      </c>
      <c r="G51" s="205"/>
      <c r="H51" s="296">
        <v>-1505695.46</v>
      </c>
      <c r="I51" s="196"/>
      <c r="J51" s="205"/>
      <c r="K51" s="244"/>
    </row>
    <row r="52" spans="3:14" x14ac:dyDescent="0.2">
      <c r="C52" s="245"/>
      <c r="D52" s="164" t="s">
        <v>44</v>
      </c>
      <c r="E52" s="196"/>
      <c r="F52" s="232">
        <f>SUM(F49:F51)</f>
        <v>597472485.51999998</v>
      </c>
      <c r="G52" s="205"/>
      <c r="H52" s="351">
        <f>SUM(H49:H51)</f>
        <v>586450223.53999996</v>
      </c>
      <c r="I52" s="196"/>
      <c r="J52" s="205"/>
      <c r="K52" s="244"/>
    </row>
    <row r="53" spans="3:14" x14ac:dyDescent="0.2">
      <c r="C53" s="245"/>
      <c r="D53" s="196"/>
      <c r="E53" s="196"/>
      <c r="F53" s="205"/>
      <c r="G53" s="205"/>
      <c r="H53" s="205"/>
      <c r="I53" s="196"/>
      <c r="J53" s="196"/>
      <c r="K53" s="244"/>
    </row>
    <row r="54" spans="3:14" ht="15.75" thickBot="1" x14ac:dyDescent="0.25">
      <c r="C54" s="245"/>
      <c r="D54" s="164" t="s">
        <v>45</v>
      </c>
      <c r="E54" s="195"/>
      <c r="F54" s="155">
        <f>+F52+F46+1</f>
        <v>1886587782.3099999</v>
      </c>
      <c r="G54" s="57"/>
      <c r="H54" s="155">
        <f>+H52+H46</f>
        <v>1637707374.5999999</v>
      </c>
      <c r="I54" s="196"/>
      <c r="J54" s="211" t="e">
        <f>SUM(J47:J49)</f>
        <v>#REF!</v>
      </c>
      <c r="K54" s="244"/>
    </row>
    <row r="55" spans="3:14" ht="16.5" thickTop="1" thickBot="1" x14ac:dyDescent="0.25">
      <c r="C55" s="246"/>
      <c r="D55" s="247"/>
      <c r="E55" s="247"/>
      <c r="F55" s="247"/>
      <c r="G55" s="248"/>
      <c r="H55" s="248" t="s">
        <v>72</v>
      </c>
      <c r="I55" s="249"/>
      <c r="J55" s="249"/>
      <c r="K55" s="250"/>
    </row>
    <row r="56" spans="3:14" ht="15.75" thickTop="1" x14ac:dyDescent="0.2">
      <c r="C56" s="44"/>
      <c r="D56" s="195"/>
      <c r="E56" s="195"/>
      <c r="F56" s="370"/>
      <c r="G56" s="196"/>
      <c r="H56" s="201"/>
      <c r="I56" s="196"/>
      <c r="J56" s="210">
        <v>-5348157.34</v>
      </c>
      <c r="K56" s="196"/>
    </row>
    <row r="57" spans="3:14" x14ac:dyDescent="0.2">
      <c r="C57" s="44"/>
      <c r="D57" s="195"/>
      <c r="E57" s="195"/>
      <c r="F57" s="297"/>
      <c r="G57" s="297"/>
      <c r="H57" s="297"/>
      <c r="I57" s="196"/>
      <c r="J57" s="205"/>
      <c r="K57" s="196"/>
    </row>
    <row r="58" spans="3:14" x14ac:dyDescent="0.2">
      <c r="C58" s="44"/>
      <c r="D58" s="195"/>
      <c r="E58" s="195"/>
      <c r="F58" s="226"/>
      <c r="G58" s="226"/>
      <c r="H58" s="226"/>
      <c r="I58" s="196"/>
      <c r="J58" s="205"/>
      <c r="K58" s="196"/>
    </row>
    <row r="59" spans="3:14" x14ac:dyDescent="0.2">
      <c r="C59" s="228"/>
      <c r="D59" s="225"/>
      <c r="E59" s="225"/>
      <c r="F59" s="229"/>
      <c r="G59" s="225"/>
      <c r="H59" s="230"/>
      <c r="I59" s="225"/>
      <c r="J59" s="225"/>
      <c r="K59" s="225"/>
      <c r="L59" s="124"/>
    </row>
    <row r="60" spans="3:14" x14ac:dyDescent="0.2">
      <c r="C60" s="18"/>
      <c r="D60" s="318" t="s">
        <v>253</v>
      </c>
      <c r="E60" s="216"/>
      <c r="F60" s="318"/>
      <c r="G60" s="319" t="s">
        <v>211</v>
      </c>
      <c r="H60" s="319"/>
      <c r="I60" s="216"/>
      <c r="J60" s="216"/>
      <c r="K60" s="216"/>
      <c r="L60" s="124"/>
    </row>
    <row r="61" spans="3:14" x14ac:dyDescent="0.2">
      <c r="C61" s="6"/>
      <c r="D61" s="15" t="s">
        <v>254</v>
      </c>
      <c r="E61" s="217"/>
      <c r="F61" s="408" t="s">
        <v>36</v>
      </c>
      <c r="G61" s="408"/>
      <c r="H61" s="408"/>
      <c r="I61" s="218"/>
      <c r="J61" s="218"/>
      <c r="K61" s="219"/>
      <c r="L61" s="125"/>
    </row>
    <row r="62" spans="3:14" x14ac:dyDescent="0.2">
      <c r="C62" s="18"/>
      <c r="D62" s="216"/>
      <c r="E62" s="216"/>
      <c r="F62" s="216"/>
      <c r="G62" s="216"/>
      <c r="H62" s="216"/>
      <c r="I62" s="216"/>
      <c r="J62" s="216"/>
      <c r="K62" s="216"/>
      <c r="L62" s="124"/>
    </row>
    <row r="63" spans="3:14" x14ac:dyDescent="0.2">
      <c r="C63" s="18"/>
      <c r="D63" s="216"/>
      <c r="E63" s="216"/>
      <c r="F63" s="216"/>
      <c r="G63" s="216"/>
      <c r="H63" s="216"/>
      <c r="I63" s="216"/>
      <c r="J63" s="216"/>
      <c r="K63" s="216"/>
      <c r="L63" s="124"/>
      <c r="M63" s="1"/>
      <c r="N63" s="1"/>
    </row>
    <row r="64" spans="3:14" x14ac:dyDescent="0.2">
      <c r="C64" s="18"/>
      <c r="D64" s="215"/>
      <c r="E64" s="216"/>
      <c r="F64" s="216"/>
      <c r="G64" s="216"/>
      <c r="H64" s="216"/>
      <c r="I64" s="216"/>
      <c r="J64" s="216"/>
      <c r="K64" s="216"/>
      <c r="L64" s="124"/>
      <c r="M64" s="1"/>
      <c r="N64" s="1"/>
    </row>
    <row r="65" spans="3:14" x14ac:dyDescent="0.2">
      <c r="C65" s="18"/>
      <c r="D65" s="320" t="s">
        <v>250</v>
      </c>
      <c r="E65" s="321"/>
      <c r="F65" s="321"/>
      <c r="G65" s="231"/>
      <c r="H65" s="231"/>
      <c r="I65" s="231"/>
      <c r="J65" s="231"/>
      <c r="K65" s="216"/>
      <c r="L65" s="124"/>
      <c r="M65" s="1"/>
      <c r="N65" s="1"/>
    </row>
    <row r="66" spans="3:14" x14ac:dyDescent="0.2">
      <c r="C66" s="18"/>
      <c r="D66" s="233" t="s">
        <v>255</v>
      </c>
      <c r="E66" s="220"/>
      <c r="F66" s="220"/>
      <c r="G66" s="220"/>
      <c r="H66" s="216"/>
      <c r="I66" s="220"/>
      <c r="J66" s="220"/>
      <c r="K66" s="216"/>
      <c r="M66" s="1"/>
      <c r="N66" s="1"/>
    </row>
    <row r="67" spans="3:14" x14ac:dyDescent="0.2">
      <c r="C67" s="17"/>
      <c r="D67" s="215"/>
      <c r="E67" s="215"/>
      <c r="F67" s="215"/>
      <c r="G67" s="215"/>
      <c r="H67" s="221"/>
      <c r="I67" s="215"/>
      <c r="J67" s="215"/>
      <c r="K67" s="215"/>
      <c r="M67" s="1"/>
      <c r="N67" s="1"/>
    </row>
    <row r="68" spans="3:14" x14ac:dyDescent="0.2">
      <c r="C68" s="17"/>
      <c r="D68" s="215"/>
      <c r="E68" s="215"/>
      <c r="F68" s="157"/>
      <c r="G68" s="215"/>
      <c r="H68" s="221"/>
      <c r="I68" s="215"/>
      <c r="J68" s="215"/>
      <c r="K68" s="215"/>
      <c r="M68" s="1"/>
      <c r="N68" s="1"/>
    </row>
    <row r="69" spans="3:14" x14ac:dyDescent="0.2">
      <c r="C69" s="17"/>
      <c r="D69" s="221"/>
      <c r="E69" s="215"/>
      <c r="F69" s="157"/>
      <c r="G69" s="215"/>
      <c r="H69" s="215"/>
      <c r="I69" s="215"/>
      <c r="J69" s="215"/>
      <c r="K69" s="215"/>
      <c r="M69" s="1"/>
      <c r="N69" s="1"/>
    </row>
    <row r="70" spans="3:14" x14ac:dyDescent="0.2">
      <c r="C70" s="17"/>
      <c r="D70" s="221"/>
      <c r="E70" s="215"/>
      <c r="F70" s="157"/>
      <c r="G70" s="215"/>
      <c r="H70" s="221"/>
      <c r="I70" s="215"/>
      <c r="J70" s="215"/>
      <c r="K70" s="215"/>
      <c r="M70" s="1"/>
      <c r="N70" s="1"/>
    </row>
    <row r="71" spans="3:14" x14ac:dyDescent="0.2">
      <c r="C71" s="17"/>
      <c r="D71" s="221"/>
      <c r="E71" s="215"/>
      <c r="F71" s="159"/>
      <c r="G71" s="215"/>
      <c r="H71" s="216"/>
      <c r="I71" s="215"/>
      <c r="J71" s="215"/>
      <c r="K71" s="215"/>
      <c r="L71" s="125"/>
      <c r="M71" s="1"/>
      <c r="N71" s="1"/>
    </row>
    <row r="72" spans="3:14" x14ac:dyDescent="0.2">
      <c r="C72" s="17"/>
      <c r="D72" s="222"/>
      <c r="E72" s="215"/>
      <c r="F72" s="157"/>
      <c r="G72" s="215"/>
      <c r="H72" s="221"/>
      <c r="I72" s="215"/>
      <c r="J72" s="215"/>
      <c r="K72" s="215"/>
      <c r="L72" s="125"/>
      <c r="M72" s="1"/>
      <c r="N72" s="1"/>
    </row>
    <row r="73" spans="3:14" x14ac:dyDescent="0.2">
      <c r="C73" s="17"/>
      <c r="D73" s="221"/>
      <c r="E73" s="215"/>
      <c r="F73" s="158"/>
      <c r="G73" s="215"/>
      <c r="H73" s="157"/>
      <c r="I73" s="215"/>
      <c r="J73" s="215"/>
      <c r="K73" s="215"/>
      <c r="L73" s="124"/>
      <c r="M73" s="1"/>
      <c r="N73" s="1"/>
    </row>
    <row r="74" spans="3:14" x14ac:dyDescent="0.2">
      <c r="C74" s="17"/>
      <c r="D74" s="215"/>
      <c r="E74" s="215"/>
      <c r="F74" s="157"/>
      <c r="G74" s="215"/>
      <c r="H74" s="221"/>
      <c r="I74" s="215"/>
      <c r="J74" s="215"/>
      <c r="K74" s="215"/>
      <c r="L74" s="124"/>
      <c r="M74" s="1"/>
      <c r="N74" s="1"/>
    </row>
    <row r="75" spans="3:14" x14ac:dyDescent="0.2">
      <c r="C75" s="17"/>
      <c r="D75" s="215"/>
      <c r="E75" s="215"/>
      <c r="F75" s="157">
        <f>+F54-F31</f>
        <v>-3.9999961853027344E-2</v>
      </c>
      <c r="G75" s="215"/>
      <c r="H75" s="157">
        <f>+H54-H31</f>
        <v>-0.47000002861022949</v>
      </c>
      <c r="I75" s="215"/>
      <c r="J75" s="215"/>
      <c r="K75" s="215"/>
      <c r="L75" s="124"/>
      <c r="M75" s="1"/>
      <c r="N75" s="1"/>
    </row>
    <row r="76" spans="3:14" x14ac:dyDescent="0.2">
      <c r="C76" s="17"/>
      <c r="D76" s="215"/>
      <c r="E76" s="215"/>
      <c r="F76" s="157"/>
      <c r="G76" s="215"/>
      <c r="H76" s="157"/>
      <c r="I76" s="215"/>
      <c r="J76" s="215"/>
      <c r="K76" s="215"/>
      <c r="L76" s="124"/>
      <c r="M76" s="1"/>
      <c r="N76" s="1"/>
    </row>
    <row r="77" spans="3:14" x14ac:dyDescent="0.2">
      <c r="C77" s="17"/>
      <c r="D77" s="215"/>
      <c r="E77" s="215"/>
      <c r="F77" s="157"/>
      <c r="G77" s="215"/>
      <c r="H77" s="157"/>
      <c r="I77" s="215"/>
      <c r="J77" s="215"/>
      <c r="K77" s="215" t="s">
        <v>19</v>
      </c>
      <c r="L77" s="124"/>
      <c r="M77" s="1"/>
      <c r="N77" s="1"/>
    </row>
    <row r="78" spans="3:14" s="2" customFormat="1" x14ac:dyDescent="0.2">
      <c r="C78" s="17"/>
      <c r="D78" s="215"/>
      <c r="E78" s="215"/>
      <c r="F78" s="157"/>
      <c r="G78" s="215"/>
      <c r="H78" s="157"/>
      <c r="I78" s="215"/>
      <c r="J78" s="215"/>
      <c r="K78" s="215"/>
      <c r="L78" s="4"/>
    </row>
    <row r="79" spans="3:14" customFormat="1" x14ac:dyDescent="0.2">
      <c r="C79" s="17"/>
      <c r="D79" s="215"/>
      <c r="E79" s="215"/>
      <c r="F79" s="157"/>
      <c r="G79" s="215"/>
      <c r="H79" s="159"/>
      <c r="I79" s="215"/>
      <c r="J79" s="215"/>
      <c r="K79" s="215"/>
      <c r="L79" s="4"/>
    </row>
    <row r="80" spans="3:14" customFormat="1" ht="15" customHeight="1" x14ac:dyDescent="0.2">
      <c r="C80" s="17"/>
      <c r="D80" s="215"/>
      <c r="E80" s="215"/>
      <c r="F80" s="159"/>
      <c r="G80" s="215"/>
      <c r="H80" s="157"/>
      <c r="I80" s="215"/>
      <c r="J80" s="215"/>
      <c r="K80" s="215"/>
      <c r="L80" s="126"/>
    </row>
    <row r="81" spans="3:12" s="2" customFormat="1" x14ac:dyDescent="0.2">
      <c r="C81" s="17"/>
      <c r="D81" s="215"/>
      <c r="E81" s="215"/>
      <c r="F81" s="157"/>
      <c r="G81" s="215"/>
      <c r="H81" s="221"/>
      <c r="I81" s="215"/>
      <c r="J81" s="215"/>
      <c r="K81" s="215"/>
      <c r="L81" s="4"/>
    </row>
    <row r="82" spans="3:12" s="2" customFormat="1" x14ac:dyDescent="0.2">
      <c r="C82" s="17"/>
      <c r="D82" s="215"/>
      <c r="E82" s="215"/>
      <c r="F82" s="158"/>
      <c r="G82" s="215"/>
      <c r="H82" s="223"/>
      <c r="I82" s="215"/>
      <c r="J82" s="215"/>
      <c r="K82" s="215"/>
      <c r="L82" s="4"/>
    </row>
    <row r="83" spans="3:12" s="2" customFormat="1" x14ac:dyDescent="0.2">
      <c r="C83" s="17"/>
      <c r="D83" s="215"/>
      <c r="E83" s="215"/>
      <c r="F83" s="157"/>
      <c r="G83" s="215"/>
      <c r="H83" s="223"/>
      <c r="I83" s="215"/>
      <c r="J83" s="215"/>
      <c r="K83" s="215"/>
      <c r="L83" s="4"/>
    </row>
    <row r="84" spans="3:12" s="2" customFormat="1" x14ac:dyDescent="0.2">
      <c r="C84" s="17"/>
      <c r="D84" s="215"/>
      <c r="E84" s="215"/>
      <c r="F84" s="157"/>
      <c r="G84" s="215"/>
      <c r="H84" s="215"/>
      <c r="I84" s="215"/>
      <c r="J84" s="215"/>
      <c r="K84" s="215"/>
      <c r="L84" s="4"/>
    </row>
    <row r="85" spans="3:12" x14ac:dyDescent="0.2">
      <c r="C85" s="17"/>
      <c r="D85" s="215"/>
      <c r="E85" s="215"/>
      <c r="F85" s="157"/>
      <c r="G85" s="215"/>
      <c r="H85" s="215"/>
      <c r="I85" s="215"/>
      <c r="J85" s="215"/>
      <c r="K85" s="215"/>
    </row>
    <row r="86" spans="3:12" x14ac:dyDescent="0.2">
      <c r="C86" s="17"/>
      <c r="D86" s="215"/>
      <c r="E86" s="215"/>
      <c r="F86" s="221"/>
      <c r="G86" s="215"/>
      <c r="H86" s="215"/>
      <c r="I86" s="215"/>
      <c r="J86" s="215"/>
      <c r="K86" s="215"/>
    </row>
    <row r="87" spans="3:12" x14ac:dyDescent="0.2">
      <c r="C87" s="17"/>
      <c r="D87" s="215"/>
      <c r="E87" s="215"/>
      <c r="F87" s="221"/>
      <c r="G87" s="215"/>
      <c r="H87" s="215"/>
      <c r="I87" s="215"/>
      <c r="J87" s="215"/>
      <c r="K87" s="215"/>
    </row>
    <row r="88" spans="3:12" x14ac:dyDescent="0.2">
      <c r="C88" s="17"/>
      <c r="D88" s="215"/>
      <c r="E88" s="215"/>
      <c r="F88" s="215"/>
      <c r="G88" s="215"/>
      <c r="H88" s="215"/>
      <c r="I88" s="215"/>
      <c r="J88" s="215"/>
      <c r="K88" s="215"/>
    </row>
    <row r="89" spans="3:12" x14ac:dyDescent="0.2">
      <c r="C89" s="17"/>
      <c r="D89" s="215"/>
      <c r="E89" s="215"/>
      <c r="F89" s="215"/>
      <c r="G89" s="215"/>
      <c r="H89" s="215"/>
      <c r="I89" s="215"/>
      <c r="J89" s="215"/>
      <c r="K89" s="215"/>
    </row>
    <row r="90" spans="3:12" x14ac:dyDescent="0.2">
      <c r="C90" s="17"/>
      <c r="D90" s="215"/>
      <c r="E90" s="215"/>
      <c r="F90" s="215"/>
      <c r="G90" s="215"/>
      <c r="H90" s="215"/>
      <c r="I90" s="215"/>
      <c r="J90" s="215"/>
      <c r="K90" s="215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theme="3" tint="-0.249977111117893"/>
  </sheetPr>
  <dimension ref="A2:K181"/>
  <sheetViews>
    <sheetView zoomScale="110" zoomScaleNormal="110" zoomScaleSheetLayoutView="75" workbookViewId="0">
      <selection activeCell="N23" sqref="N23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2" spans="2:11" x14ac:dyDescent="0.2">
      <c r="B2" s="372"/>
      <c r="C2" s="373"/>
      <c r="D2" s="373"/>
      <c r="E2" s="373"/>
      <c r="F2" s="373"/>
      <c r="G2" s="373"/>
      <c r="H2" s="373"/>
      <c r="I2" s="373"/>
      <c r="J2" s="374"/>
      <c r="K2" s="27"/>
    </row>
    <row r="3" spans="2:11" x14ac:dyDescent="0.2">
      <c r="B3" s="375"/>
      <c r="C3" s="29"/>
      <c r="D3" s="29"/>
      <c r="E3" s="29"/>
      <c r="F3" s="29"/>
      <c r="G3" s="29"/>
      <c r="H3" s="29"/>
      <c r="I3" s="29"/>
      <c r="J3" s="376"/>
      <c r="K3" s="27"/>
    </row>
    <row r="4" spans="2:11" x14ac:dyDescent="0.2">
      <c r="B4" s="375"/>
      <c r="C4" s="29"/>
      <c r="D4" s="29"/>
      <c r="E4" s="29"/>
      <c r="F4" s="29"/>
      <c r="G4" s="29"/>
      <c r="H4" s="29"/>
      <c r="I4" s="29"/>
      <c r="J4" s="376"/>
      <c r="K4" s="27"/>
    </row>
    <row r="5" spans="2:11" x14ac:dyDescent="0.2">
      <c r="B5" s="375"/>
      <c r="C5" s="29"/>
      <c r="D5" s="29"/>
      <c r="E5" s="29"/>
      <c r="F5" s="29"/>
      <c r="G5" s="29"/>
      <c r="H5" s="29"/>
      <c r="I5" s="29"/>
      <c r="J5" s="376"/>
      <c r="K5" s="27"/>
    </row>
    <row r="6" spans="2:11" x14ac:dyDescent="0.2">
      <c r="B6" s="375"/>
      <c r="C6" s="398"/>
      <c r="D6" s="398"/>
      <c r="E6" s="398"/>
      <c r="F6" s="398"/>
      <c r="G6" s="398"/>
      <c r="H6" s="398"/>
      <c r="I6" s="398"/>
      <c r="J6" s="411"/>
      <c r="K6" s="27"/>
    </row>
    <row r="7" spans="2:11" x14ac:dyDescent="0.2">
      <c r="B7" s="375"/>
      <c r="C7" s="398" t="s">
        <v>97</v>
      </c>
      <c r="D7" s="398"/>
      <c r="E7" s="398"/>
      <c r="F7" s="398"/>
      <c r="G7" s="398"/>
      <c r="H7" s="398"/>
      <c r="I7" s="398"/>
      <c r="J7" s="411"/>
      <c r="K7" s="27"/>
    </row>
    <row r="8" spans="2:11" x14ac:dyDescent="0.2">
      <c r="B8" s="375"/>
      <c r="C8" s="398" t="str">
        <f>+RESULTADOS!B10</f>
        <v>DEL 01 DE ENERO AL 28 DE FEBRERO 2023</v>
      </c>
      <c r="D8" s="398"/>
      <c r="E8" s="398"/>
      <c r="F8" s="398"/>
      <c r="G8" s="398"/>
      <c r="H8" s="398"/>
      <c r="I8" s="398"/>
      <c r="J8" s="411"/>
      <c r="K8" s="27"/>
    </row>
    <row r="9" spans="2:11" x14ac:dyDescent="0.2">
      <c r="B9" s="375"/>
      <c r="C9" s="398" t="str">
        <f>+'SITUACION '!C8:K8</f>
        <v>(Valores en RD$)</v>
      </c>
      <c r="D9" s="398"/>
      <c r="E9" s="398"/>
      <c r="F9" s="398"/>
      <c r="G9" s="398"/>
      <c r="H9" s="398"/>
      <c r="I9" s="398"/>
      <c r="J9" s="411"/>
      <c r="K9" s="27"/>
    </row>
    <row r="10" spans="2:11" x14ac:dyDescent="0.2">
      <c r="B10" s="375"/>
      <c r="C10" s="29"/>
      <c r="D10" s="29"/>
      <c r="E10" s="29"/>
      <c r="F10" s="29"/>
      <c r="G10" s="29"/>
      <c r="H10" s="29"/>
      <c r="I10" s="29"/>
      <c r="J10" s="376"/>
      <c r="K10" s="27"/>
    </row>
    <row r="11" spans="2:11" x14ac:dyDescent="0.2">
      <c r="B11" s="394"/>
      <c r="C11" s="395"/>
      <c r="D11" s="395"/>
      <c r="E11" s="395"/>
      <c r="F11" s="395"/>
      <c r="G11" s="395"/>
      <c r="H11" s="395"/>
      <c r="I11" s="395"/>
      <c r="J11" s="396"/>
      <c r="K11" s="27"/>
    </row>
    <row r="12" spans="2:11" x14ac:dyDescent="0.2">
      <c r="B12" s="147"/>
      <c r="C12" s="68"/>
      <c r="D12" s="66"/>
      <c r="E12" s="66"/>
      <c r="F12" s="66"/>
      <c r="G12" s="66"/>
      <c r="H12" s="66"/>
      <c r="I12" s="66"/>
      <c r="J12" s="377"/>
      <c r="K12" s="27"/>
    </row>
    <row r="13" spans="2:11" x14ac:dyDescent="0.2">
      <c r="B13" s="147"/>
      <c r="C13" s="63" t="s">
        <v>115</v>
      </c>
      <c r="D13" s="64" t="s">
        <v>5</v>
      </c>
      <c r="E13" s="64"/>
      <c r="F13" s="65"/>
      <c r="G13" s="66"/>
      <c r="H13" s="66"/>
      <c r="I13" s="66"/>
      <c r="J13" s="377"/>
      <c r="K13" s="27"/>
    </row>
    <row r="14" spans="2:11" x14ac:dyDescent="0.2">
      <c r="B14" s="147"/>
      <c r="C14" s="63"/>
      <c r="D14" s="64"/>
      <c r="E14" s="64"/>
      <c r="F14" s="65"/>
      <c r="G14" s="66"/>
      <c r="H14" s="66"/>
      <c r="I14" s="66"/>
      <c r="J14" s="377"/>
      <c r="K14" s="27"/>
    </row>
    <row r="15" spans="2:11" x14ac:dyDescent="0.2">
      <c r="B15" s="147"/>
      <c r="C15" s="68"/>
      <c r="D15" s="66" t="s">
        <v>279</v>
      </c>
      <c r="E15" s="66"/>
      <c r="F15" s="66"/>
      <c r="G15" s="66"/>
      <c r="H15" s="66"/>
      <c r="I15" s="66"/>
      <c r="J15" s="377"/>
      <c r="K15" s="27"/>
    </row>
    <row r="16" spans="2:11" x14ac:dyDescent="0.2">
      <c r="B16" s="147"/>
      <c r="C16" s="68"/>
      <c r="D16" s="66" t="s">
        <v>105</v>
      </c>
      <c r="E16" s="66"/>
      <c r="F16" s="66"/>
      <c r="G16" s="66"/>
      <c r="H16" s="66"/>
      <c r="I16" s="66"/>
      <c r="J16" s="377"/>
      <c r="K16" s="27"/>
    </row>
    <row r="17" spans="2:11" x14ac:dyDescent="0.2">
      <c r="B17" s="147"/>
      <c r="C17" s="68"/>
      <c r="D17" s="66" t="s">
        <v>102</v>
      </c>
      <c r="E17" s="66"/>
      <c r="F17" s="66"/>
      <c r="G17" s="66"/>
      <c r="H17" s="66"/>
      <c r="I17" s="66"/>
      <c r="J17" s="377"/>
      <c r="K17" s="27"/>
    </row>
    <row r="18" spans="2:11" x14ac:dyDescent="0.2">
      <c r="B18" s="147"/>
      <c r="C18" s="68"/>
      <c r="D18" s="66"/>
      <c r="E18" s="66"/>
      <c r="F18" s="66"/>
      <c r="G18" s="66"/>
      <c r="H18" s="66"/>
      <c r="I18" s="66"/>
      <c r="J18" s="377"/>
      <c r="K18" s="27"/>
    </row>
    <row r="19" spans="2:11" ht="13.15" customHeight="1" x14ac:dyDescent="0.2">
      <c r="B19" s="147"/>
      <c r="C19" s="69"/>
      <c r="D19" s="70" t="s">
        <v>70</v>
      </c>
      <c r="E19" s="70"/>
      <c r="F19" s="66"/>
      <c r="G19" s="66"/>
      <c r="H19" s="54"/>
      <c r="I19" s="66"/>
      <c r="J19" s="377"/>
      <c r="K19" s="27"/>
    </row>
    <row r="20" spans="2:11" hidden="1" x14ac:dyDescent="0.2">
      <c r="B20" s="147"/>
      <c r="C20" s="69"/>
      <c r="D20" s="66" t="s">
        <v>69</v>
      </c>
      <c r="E20" s="70"/>
      <c r="F20" s="66"/>
      <c r="G20" s="54">
        <v>0</v>
      </c>
      <c r="H20" s="54"/>
      <c r="I20" s="66"/>
      <c r="J20" s="377"/>
      <c r="K20" s="27"/>
    </row>
    <row r="21" spans="2:11" x14ac:dyDescent="0.2">
      <c r="B21" s="147"/>
      <c r="C21" s="69"/>
      <c r="D21" s="66" t="s">
        <v>139</v>
      </c>
      <c r="E21" s="66"/>
      <c r="F21" s="66"/>
      <c r="G21" s="54">
        <v>100000</v>
      </c>
      <c r="H21" s="54"/>
      <c r="I21" s="66"/>
      <c r="J21" s="377"/>
      <c r="K21" s="27"/>
    </row>
    <row r="22" spans="2:11" x14ac:dyDescent="0.2">
      <c r="B22" s="147"/>
      <c r="C22" s="69"/>
      <c r="D22" s="66" t="s">
        <v>162</v>
      </c>
      <c r="E22" s="61"/>
      <c r="F22" s="66"/>
      <c r="G22" s="59">
        <v>50000</v>
      </c>
      <c r="H22" s="59">
        <f>SUM(G20:G22)</f>
        <v>150000</v>
      </c>
      <c r="I22" s="66"/>
      <c r="J22" s="377"/>
      <c r="K22" s="27"/>
    </row>
    <row r="23" spans="2:11" x14ac:dyDescent="0.2">
      <c r="B23" s="147"/>
      <c r="C23" s="69"/>
      <c r="D23" s="61"/>
      <c r="E23" s="61"/>
      <c r="F23" s="61"/>
      <c r="G23" s="61"/>
      <c r="H23" s="54"/>
      <c r="I23" s="66"/>
      <c r="J23" s="377"/>
      <c r="K23" s="27"/>
    </row>
    <row r="24" spans="2:11" x14ac:dyDescent="0.2">
      <c r="B24" s="147"/>
      <c r="C24" s="69"/>
      <c r="D24" s="70" t="s">
        <v>99</v>
      </c>
      <c r="E24" s="70"/>
      <c r="F24" s="54"/>
      <c r="G24" s="61"/>
      <c r="H24" s="54"/>
      <c r="I24" s="66"/>
      <c r="J24" s="377"/>
      <c r="K24" s="27"/>
    </row>
    <row r="25" spans="2:11" x14ac:dyDescent="0.2">
      <c r="B25" s="147"/>
      <c r="C25" s="69"/>
      <c r="D25" s="66" t="s">
        <v>100</v>
      </c>
      <c r="E25" s="66"/>
      <c r="F25" s="66"/>
      <c r="G25" s="110">
        <v>60559352.07</v>
      </c>
      <c r="H25" s="61"/>
      <c r="I25" s="61"/>
      <c r="J25" s="377"/>
      <c r="K25" s="27"/>
    </row>
    <row r="26" spans="2:11" x14ac:dyDescent="0.2">
      <c r="B26" s="147"/>
      <c r="C26" s="69"/>
      <c r="D26" s="66" t="s">
        <v>101</v>
      </c>
      <c r="E26" s="66"/>
      <c r="F26" s="61"/>
      <c r="G26" s="54">
        <v>687500.35</v>
      </c>
      <c r="H26" s="61"/>
      <c r="I26" s="61"/>
      <c r="J26" s="377"/>
      <c r="K26" s="27"/>
    </row>
    <row r="27" spans="2:11" x14ac:dyDescent="0.2">
      <c r="B27" s="147"/>
      <c r="C27" s="69"/>
      <c r="D27" s="66" t="s">
        <v>110</v>
      </c>
      <c r="E27" s="61"/>
      <c r="F27" s="61"/>
      <c r="G27" s="54">
        <v>2777254.26</v>
      </c>
      <c r="H27" s="54"/>
      <c r="I27" s="66"/>
      <c r="J27" s="377"/>
      <c r="K27" s="27"/>
    </row>
    <row r="28" spans="2:11" x14ac:dyDescent="0.2">
      <c r="B28" s="147"/>
      <c r="C28" s="69"/>
      <c r="D28" s="66" t="s">
        <v>111</v>
      </c>
      <c r="E28" s="66"/>
      <c r="F28" s="61"/>
      <c r="G28" s="59">
        <v>1995782.71</v>
      </c>
      <c r="H28" s="59">
        <f>SUM(G25:G28)</f>
        <v>66019889.390000001</v>
      </c>
      <c r="I28" s="66"/>
      <c r="J28" s="377"/>
      <c r="K28" s="27"/>
    </row>
    <row r="29" spans="2:11" x14ac:dyDescent="0.2">
      <c r="B29" s="147"/>
      <c r="C29" s="69"/>
      <c r="D29" s="66"/>
      <c r="E29" s="66"/>
      <c r="F29" s="61"/>
      <c r="G29" s="54"/>
      <c r="H29" s="54"/>
      <c r="I29" s="66"/>
      <c r="J29" s="377"/>
      <c r="K29" s="27"/>
    </row>
    <row r="30" spans="2:11" ht="15" thickBot="1" x14ac:dyDescent="0.25">
      <c r="B30" s="147"/>
      <c r="C30" s="69"/>
      <c r="D30" s="66"/>
      <c r="E30" s="66"/>
      <c r="F30" s="61"/>
      <c r="G30" s="54"/>
      <c r="H30" s="71">
        <f>+H28+H22</f>
        <v>66169889.390000001</v>
      </c>
      <c r="I30" s="66"/>
      <c r="J30" s="377"/>
      <c r="K30" s="27"/>
    </row>
    <row r="31" spans="2:11" ht="15" thickTop="1" x14ac:dyDescent="0.2">
      <c r="B31" s="147"/>
      <c r="C31" s="69"/>
      <c r="D31" s="66"/>
      <c r="E31" s="66"/>
      <c r="F31" s="61"/>
      <c r="G31" s="54"/>
      <c r="H31" s="54"/>
      <c r="I31" s="66"/>
      <c r="J31" s="377"/>
      <c r="K31" s="27"/>
    </row>
    <row r="32" spans="2:11" x14ac:dyDescent="0.2">
      <c r="B32" s="147"/>
      <c r="C32" s="69"/>
      <c r="D32" s="66" t="s">
        <v>153</v>
      </c>
      <c r="E32" s="66"/>
      <c r="F32" s="66"/>
      <c r="G32" s="54">
        <v>6379447.8099999996</v>
      </c>
      <c r="H32" s="54"/>
      <c r="I32" s="54"/>
      <c r="J32" s="377"/>
      <c r="K32" s="27"/>
    </row>
    <row r="33" spans="2:11" x14ac:dyDescent="0.2">
      <c r="B33" s="147"/>
      <c r="C33" s="69"/>
      <c r="D33" s="66" t="s">
        <v>58</v>
      </c>
      <c r="E33" s="66"/>
      <c r="F33" s="66"/>
      <c r="G33" s="54">
        <v>251832472.87</v>
      </c>
      <c r="H33" s="7"/>
      <c r="I33" s="54"/>
      <c r="J33" s="377"/>
      <c r="K33" s="27"/>
    </row>
    <row r="34" spans="2:11" x14ac:dyDescent="0.2">
      <c r="B34" s="147"/>
      <c r="C34" s="69"/>
      <c r="D34" s="66" t="s">
        <v>137</v>
      </c>
      <c r="E34" s="66"/>
      <c r="F34" s="66"/>
      <c r="G34" s="54">
        <v>1778724.25</v>
      </c>
      <c r="H34" s="54"/>
      <c r="I34" s="54"/>
      <c r="J34" s="377"/>
      <c r="K34" s="27"/>
    </row>
    <row r="35" spans="2:11" x14ac:dyDescent="0.2">
      <c r="B35" s="147"/>
      <c r="C35" s="69"/>
      <c r="D35" s="66" t="s">
        <v>136</v>
      </c>
      <c r="E35" s="7"/>
      <c r="F35" s="66"/>
      <c r="G35" s="54">
        <v>131312.93</v>
      </c>
      <c r="H35" s="54"/>
      <c r="I35" s="54"/>
      <c r="J35" s="378"/>
      <c r="K35" s="27"/>
    </row>
    <row r="36" spans="2:11" x14ac:dyDescent="0.2">
      <c r="B36" s="147"/>
      <c r="C36" s="69"/>
      <c r="D36" s="66" t="s">
        <v>67</v>
      </c>
      <c r="E36" s="61"/>
      <c r="F36" s="66"/>
      <c r="G36" s="59">
        <v>5364917.72</v>
      </c>
      <c r="H36" s="59">
        <f>SUM(G32:G36)-1</f>
        <v>265486874.58000001</v>
      </c>
      <c r="I36" s="54"/>
      <c r="J36" s="377"/>
      <c r="K36" s="27"/>
    </row>
    <row r="37" spans="2:11" hidden="1" x14ac:dyDescent="0.2">
      <c r="B37" s="147"/>
      <c r="C37" s="69"/>
      <c r="D37" s="66" t="s">
        <v>66</v>
      </c>
      <c r="E37" s="61"/>
      <c r="F37" s="66"/>
      <c r="G37" s="59">
        <v>0</v>
      </c>
      <c r="H37" s="59">
        <v>0</v>
      </c>
      <c r="I37" s="54"/>
      <c r="J37" s="377"/>
      <c r="K37" s="27"/>
    </row>
    <row r="38" spans="2:11" x14ac:dyDescent="0.2">
      <c r="B38" s="147"/>
      <c r="C38" s="69"/>
      <c r="D38" s="7"/>
      <c r="E38" s="61"/>
      <c r="F38" s="66"/>
      <c r="G38" s="54"/>
      <c r="H38" s="54"/>
      <c r="I38" s="54"/>
      <c r="J38" s="377"/>
      <c r="K38" s="27"/>
    </row>
    <row r="39" spans="2:11" x14ac:dyDescent="0.2">
      <c r="B39" s="147"/>
      <c r="C39" s="69"/>
      <c r="D39" s="70" t="s">
        <v>140</v>
      </c>
      <c r="E39" s="70"/>
      <c r="F39" s="61"/>
      <c r="G39" s="54"/>
      <c r="H39" s="54"/>
      <c r="I39" s="54"/>
      <c r="J39" s="377"/>
      <c r="K39" s="27"/>
    </row>
    <row r="40" spans="2:11" hidden="1" x14ac:dyDescent="0.2">
      <c r="B40" s="147"/>
      <c r="C40" s="69"/>
      <c r="D40" s="61" t="s">
        <v>142</v>
      </c>
      <c r="E40" s="61"/>
      <c r="F40" s="61"/>
      <c r="G40" s="54">
        <v>0</v>
      </c>
      <c r="H40" s="54"/>
      <c r="I40" s="54"/>
      <c r="J40" s="377"/>
      <c r="K40" s="27"/>
    </row>
    <row r="41" spans="2:11" x14ac:dyDescent="0.2">
      <c r="B41" s="147"/>
      <c r="C41" s="69"/>
      <c r="D41" s="61" t="s">
        <v>152</v>
      </c>
      <c r="E41" s="61"/>
      <c r="F41" s="61"/>
      <c r="G41" s="54">
        <v>48135018.119999997</v>
      </c>
      <c r="H41" s="54"/>
      <c r="I41" s="61"/>
      <c r="J41" s="377"/>
      <c r="K41" s="27"/>
    </row>
    <row r="42" spans="2:11" x14ac:dyDescent="0.2">
      <c r="B42" s="147"/>
      <c r="C42" s="69"/>
      <c r="D42" s="61" t="s">
        <v>141</v>
      </c>
      <c r="E42" s="61"/>
      <c r="F42" s="61"/>
      <c r="G42" s="59">
        <v>91420927.980000004</v>
      </c>
      <c r="H42" s="59">
        <f>SUM(G41:G42)</f>
        <v>139555946.09999999</v>
      </c>
      <c r="I42" s="61"/>
      <c r="J42" s="377"/>
      <c r="K42" s="27"/>
    </row>
    <row r="43" spans="2:11" x14ac:dyDescent="0.2">
      <c r="B43" s="147"/>
      <c r="C43" s="69"/>
      <c r="D43" s="7"/>
      <c r="E43" s="61"/>
      <c r="F43" s="61"/>
      <c r="G43" s="54" t="s">
        <v>143</v>
      </c>
      <c r="H43" s="54"/>
      <c r="I43" s="61"/>
      <c r="J43" s="377"/>
      <c r="K43" s="27"/>
    </row>
    <row r="44" spans="2:11" ht="15" thickBot="1" x14ac:dyDescent="0.25">
      <c r="B44" s="147"/>
      <c r="C44" s="68"/>
      <c r="D44" s="66"/>
      <c r="E44" s="66"/>
      <c r="F44" s="66"/>
      <c r="G44" s="66"/>
      <c r="H44" s="71">
        <f>+H42+H36</f>
        <v>405042820.68000001</v>
      </c>
      <c r="I44" s="61"/>
      <c r="J44" s="377"/>
      <c r="K44" s="27"/>
    </row>
    <row r="45" spans="2:11" ht="15" thickTop="1" x14ac:dyDescent="0.2">
      <c r="B45" s="147"/>
      <c r="C45" s="68"/>
      <c r="D45" s="66"/>
      <c r="E45" s="66"/>
      <c r="F45" s="66"/>
      <c r="G45" s="66"/>
      <c r="H45" s="51"/>
      <c r="I45" s="61"/>
      <c r="J45" s="377"/>
      <c r="K45" s="27"/>
    </row>
    <row r="46" spans="2:11" x14ac:dyDescent="0.2">
      <c r="B46" s="147"/>
      <c r="C46" s="63" t="s">
        <v>178</v>
      </c>
      <c r="D46" s="64" t="s">
        <v>125</v>
      </c>
      <c r="E46" s="64"/>
      <c r="F46" s="66"/>
      <c r="G46" s="66"/>
      <c r="H46" s="51"/>
      <c r="I46" s="61"/>
      <c r="J46" s="377"/>
      <c r="K46" s="27"/>
    </row>
    <row r="47" spans="2:11" ht="10.5" customHeight="1" x14ac:dyDescent="0.2">
      <c r="B47" s="147"/>
      <c r="C47" s="63"/>
      <c r="D47" s="64"/>
      <c r="E47" s="64"/>
      <c r="F47" s="66"/>
      <c r="G47" s="54"/>
      <c r="H47" s="72"/>
      <c r="I47" s="61"/>
      <c r="J47" s="378"/>
      <c r="K47" s="27"/>
    </row>
    <row r="48" spans="2:11" x14ac:dyDescent="0.2">
      <c r="B48" s="147"/>
      <c r="C48" s="63"/>
      <c r="D48" s="66" t="s">
        <v>118</v>
      </c>
      <c r="E48" s="66"/>
      <c r="F48" s="66"/>
      <c r="G48" s="54"/>
      <c r="H48" s="59">
        <v>2797749.18</v>
      </c>
      <c r="I48" s="61"/>
      <c r="J48" s="377"/>
      <c r="K48" s="27"/>
    </row>
    <row r="49" spans="2:11" hidden="1" x14ac:dyDescent="0.2">
      <c r="B49" s="147"/>
      <c r="C49" s="63"/>
      <c r="D49" s="66" t="s">
        <v>10</v>
      </c>
      <c r="E49" s="66"/>
      <c r="F49" s="66"/>
      <c r="G49" s="54"/>
      <c r="H49" s="59">
        <v>0</v>
      </c>
      <c r="I49" s="61"/>
      <c r="J49" s="377"/>
      <c r="K49" s="27"/>
    </row>
    <row r="50" spans="2:11" ht="15" thickBot="1" x14ac:dyDescent="0.25">
      <c r="B50" s="147"/>
      <c r="C50" s="63"/>
      <c r="D50" s="66"/>
      <c r="E50" s="66"/>
      <c r="F50" s="66"/>
      <c r="G50" s="54"/>
      <c r="H50" s="71">
        <f>SUM(H48:H49)</f>
        <v>2797749.18</v>
      </c>
      <c r="I50" s="54"/>
      <c r="J50" s="377"/>
      <c r="K50" s="27"/>
    </row>
    <row r="51" spans="2:11" ht="14.25" customHeight="1" thickTop="1" x14ac:dyDescent="0.2">
      <c r="B51" s="147"/>
      <c r="C51" s="63" t="s">
        <v>179</v>
      </c>
      <c r="D51" s="64" t="s">
        <v>119</v>
      </c>
      <c r="E51" s="64"/>
      <c r="F51" s="66"/>
      <c r="G51" s="66"/>
      <c r="H51" s="51"/>
      <c r="I51" s="66"/>
      <c r="J51" s="377"/>
      <c r="K51" s="27"/>
    </row>
    <row r="52" spans="2:11" ht="13.5" customHeight="1" x14ac:dyDescent="0.2">
      <c r="B52" s="147"/>
      <c r="C52" s="68"/>
      <c r="D52" s="66"/>
      <c r="E52" s="66"/>
      <c r="F52" s="66"/>
      <c r="G52" s="66"/>
      <c r="H52" s="51"/>
      <c r="I52" s="54"/>
      <c r="J52" s="377"/>
      <c r="K52" s="27"/>
    </row>
    <row r="53" spans="2:11" hidden="1" x14ac:dyDescent="0.2">
      <c r="B53" s="147"/>
      <c r="C53" s="68"/>
      <c r="D53" s="66" t="s">
        <v>121</v>
      </c>
      <c r="E53" s="66"/>
      <c r="F53" s="66"/>
      <c r="G53" s="66"/>
      <c r="H53" s="73"/>
      <c r="I53" s="66"/>
      <c r="J53" s="377"/>
      <c r="K53" s="27"/>
    </row>
    <row r="54" spans="2:11" hidden="1" x14ac:dyDescent="0.2">
      <c r="B54" s="147"/>
      <c r="C54" s="68"/>
      <c r="D54" s="66" t="s">
        <v>145</v>
      </c>
      <c r="E54" s="66"/>
      <c r="F54" s="66"/>
      <c r="G54" s="66"/>
      <c r="H54" s="73">
        <v>0</v>
      </c>
      <c r="I54" s="66"/>
      <c r="J54" s="377"/>
      <c r="K54" s="27"/>
    </row>
    <row r="55" spans="2:11" x14ac:dyDescent="0.2">
      <c r="B55" s="147"/>
      <c r="C55" s="68"/>
      <c r="D55" s="66" t="s">
        <v>145</v>
      </c>
      <c r="E55" s="66"/>
      <c r="F55" s="66"/>
      <c r="G55" s="66"/>
      <c r="H55" s="73">
        <f>1574120+722755.95</f>
        <v>2296875.9500000002</v>
      </c>
      <c r="I55" s="66"/>
      <c r="J55" s="377"/>
      <c r="K55" s="27"/>
    </row>
    <row r="56" spans="2:11" x14ac:dyDescent="0.2">
      <c r="B56" s="147"/>
      <c r="C56" s="68"/>
      <c r="D56" s="66" t="s">
        <v>201</v>
      </c>
      <c r="E56" s="66"/>
      <c r="F56" s="66"/>
      <c r="G56" s="66"/>
      <c r="H56" s="305">
        <f>1700038.03+1820700</f>
        <v>3520738.0300000003</v>
      </c>
      <c r="I56" s="66"/>
      <c r="J56" s="377"/>
      <c r="K56" s="27"/>
    </row>
    <row r="57" spans="2:11" ht="15" thickBot="1" x14ac:dyDescent="0.25">
      <c r="B57" s="147"/>
      <c r="C57" s="68"/>
      <c r="D57" s="66"/>
      <c r="E57" s="66"/>
      <c r="F57" s="66"/>
      <c r="G57" s="66"/>
      <c r="H57" s="74">
        <f>SUM(H54:H56)</f>
        <v>5817613.9800000004</v>
      </c>
      <c r="I57" s="66"/>
      <c r="J57" s="377"/>
      <c r="K57" s="27"/>
    </row>
    <row r="58" spans="2:11" ht="17.25" customHeight="1" thickTop="1" x14ac:dyDescent="0.2">
      <c r="B58" s="147"/>
      <c r="C58" s="63"/>
      <c r="D58" s="75"/>
      <c r="E58" s="64"/>
      <c r="F58" s="61"/>
      <c r="G58" s="76"/>
      <c r="H58" s="77"/>
      <c r="I58" s="78"/>
      <c r="J58" s="377"/>
      <c r="K58" s="27"/>
    </row>
    <row r="59" spans="2:11" ht="12" customHeight="1" x14ac:dyDescent="0.2">
      <c r="B59" s="147"/>
      <c r="C59" s="63"/>
      <c r="D59" s="64"/>
      <c r="E59" s="64"/>
      <c r="F59" s="61"/>
      <c r="G59" s="76"/>
      <c r="H59" s="77"/>
      <c r="I59" s="78"/>
      <c r="J59" s="377"/>
      <c r="K59" s="27"/>
    </row>
    <row r="60" spans="2:11" x14ac:dyDescent="0.2">
      <c r="B60" s="147"/>
      <c r="C60" s="68"/>
      <c r="D60" s="64" t="s">
        <v>90</v>
      </c>
      <c r="E60" s="64"/>
      <c r="F60" s="138"/>
      <c r="G60" s="54"/>
      <c r="H60" s="379"/>
      <c r="I60" s="66"/>
      <c r="J60" s="377"/>
      <c r="K60" s="27"/>
    </row>
    <row r="61" spans="2:11" x14ac:dyDescent="0.2">
      <c r="B61" s="147"/>
      <c r="C61" s="68"/>
      <c r="D61" s="66"/>
      <c r="E61" s="66"/>
      <c r="F61" s="54"/>
      <c r="G61" s="66"/>
      <c r="H61" s="61"/>
      <c r="I61" s="84"/>
      <c r="J61" s="377"/>
      <c r="K61" s="27"/>
    </row>
    <row r="62" spans="2:11" ht="21.75" customHeight="1" x14ac:dyDescent="0.2">
      <c r="B62" s="147"/>
      <c r="C62" s="63" t="s">
        <v>181</v>
      </c>
      <c r="D62" s="79" t="s">
        <v>278</v>
      </c>
      <c r="E62" s="79"/>
      <c r="F62" s="66"/>
      <c r="G62" s="66"/>
      <c r="H62" s="54"/>
      <c r="I62" s="84"/>
      <c r="J62" s="377"/>
      <c r="K62" s="27"/>
    </row>
    <row r="63" spans="2:11" x14ac:dyDescent="0.2">
      <c r="B63" s="147"/>
      <c r="C63" s="68"/>
      <c r="D63" s="66"/>
      <c r="E63" s="66"/>
      <c r="F63" s="66"/>
      <c r="G63" s="66"/>
      <c r="H63" s="66"/>
      <c r="I63" s="66"/>
      <c r="J63" s="377"/>
      <c r="K63" s="27"/>
    </row>
    <row r="64" spans="2:11" x14ac:dyDescent="0.2">
      <c r="B64" s="147"/>
      <c r="C64" s="140"/>
      <c r="D64" s="409" t="s">
        <v>171</v>
      </c>
      <c r="E64" s="362"/>
      <c r="F64" s="141"/>
      <c r="G64" s="409" t="s">
        <v>172</v>
      </c>
      <c r="H64" s="362" t="s">
        <v>113</v>
      </c>
      <c r="I64" s="142" t="s">
        <v>173</v>
      </c>
      <c r="J64" s="377"/>
      <c r="K64" s="27"/>
    </row>
    <row r="65" spans="1:11" ht="15" thickBot="1" x14ac:dyDescent="0.25">
      <c r="B65" s="147"/>
      <c r="C65" s="143"/>
      <c r="D65" s="410"/>
      <c r="E65" s="363"/>
      <c r="F65" s="85"/>
      <c r="G65" s="410"/>
      <c r="H65" s="363" t="s">
        <v>174</v>
      </c>
      <c r="I65" s="144" t="s">
        <v>175</v>
      </c>
      <c r="J65" s="377"/>
      <c r="K65" s="27"/>
    </row>
    <row r="66" spans="1:11" x14ac:dyDescent="0.2">
      <c r="B66" s="147"/>
      <c r="C66" s="145"/>
      <c r="D66" s="66"/>
      <c r="E66" s="66"/>
      <c r="F66" s="66"/>
      <c r="G66" s="55"/>
      <c r="H66" s="55"/>
      <c r="I66" s="146"/>
      <c r="J66" s="377"/>
      <c r="K66" s="27"/>
    </row>
    <row r="67" spans="1:11" ht="17.25" customHeight="1" x14ac:dyDescent="0.2">
      <c r="B67" s="147"/>
      <c r="C67" s="147" t="s">
        <v>176</v>
      </c>
      <c r="D67" s="66"/>
      <c r="E67" s="66"/>
      <c r="F67" s="61"/>
      <c r="G67" s="54">
        <v>179178600</v>
      </c>
      <c r="H67" s="55"/>
      <c r="I67" s="146">
        <f>+G67-H67</f>
        <v>179178600</v>
      </c>
      <c r="J67" s="377"/>
      <c r="K67" s="27"/>
    </row>
    <row r="68" spans="1:11" ht="14.25" customHeight="1" x14ac:dyDescent="0.2">
      <c r="B68" s="147"/>
      <c r="C68" s="147" t="s">
        <v>177</v>
      </c>
      <c r="D68" s="66"/>
      <c r="E68" s="66"/>
      <c r="F68" s="61"/>
      <c r="G68" s="307">
        <v>90440344.430000007</v>
      </c>
      <c r="H68" s="361">
        <v>32398333.949999999</v>
      </c>
      <c r="I68" s="146">
        <f t="shared" ref="I68:I80" si="0">+G68-H68</f>
        <v>58042010.480000004</v>
      </c>
      <c r="J68" s="377"/>
      <c r="K68" s="27"/>
    </row>
    <row r="69" spans="1:11" ht="14.25" hidden="1" customHeight="1" x14ac:dyDescent="0.2">
      <c r="B69" s="147"/>
      <c r="C69" s="316" t="s">
        <v>206</v>
      </c>
      <c r="D69" s="66"/>
      <c r="E69" s="66"/>
      <c r="F69" s="61"/>
      <c r="G69" s="307">
        <v>0</v>
      </c>
      <c r="H69" s="361"/>
      <c r="I69" s="146">
        <f t="shared" si="0"/>
        <v>0</v>
      </c>
      <c r="J69" s="377"/>
      <c r="K69" s="27"/>
    </row>
    <row r="70" spans="1:11" ht="14.25" customHeight="1" x14ac:dyDescent="0.2">
      <c r="B70" s="147"/>
      <c r="C70" s="316" t="s">
        <v>240</v>
      </c>
      <c r="D70" s="66"/>
      <c r="E70" s="66"/>
      <c r="F70" s="61"/>
      <c r="G70" s="307">
        <f>57355386.33+1527136.43</f>
        <v>58882522.759999998</v>
      </c>
      <c r="H70" s="361"/>
      <c r="I70" s="371">
        <f t="shared" si="0"/>
        <v>58882522.759999998</v>
      </c>
      <c r="J70" s="377"/>
      <c r="K70" s="27"/>
    </row>
    <row r="71" spans="1:11" ht="14.25" hidden="1" customHeight="1" x14ac:dyDescent="0.2">
      <c r="B71" s="147"/>
      <c r="C71" s="316" t="s">
        <v>207</v>
      </c>
      <c r="D71" s="66"/>
      <c r="E71" s="66"/>
      <c r="F71" s="61"/>
      <c r="G71" s="307">
        <v>0</v>
      </c>
      <c r="H71" s="361"/>
      <c r="I71" s="371">
        <f t="shared" si="0"/>
        <v>0</v>
      </c>
      <c r="J71" s="377"/>
      <c r="K71" s="27"/>
    </row>
    <row r="72" spans="1:11" ht="14.25" customHeight="1" x14ac:dyDescent="0.2">
      <c r="B72" s="147"/>
      <c r="C72" s="316" t="s">
        <v>210</v>
      </c>
      <c r="D72" s="66"/>
      <c r="E72" s="66"/>
      <c r="F72" s="61"/>
      <c r="G72" s="307">
        <f>203095.19</f>
        <v>203095.19</v>
      </c>
      <c r="H72" s="361"/>
      <c r="I72" s="371">
        <f t="shared" si="0"/>
        <v>203095.19</v>
      </c>
      <c r="J72" s="377"/>
      <c r="K72" s="27"/>
    </row>
    <row r="73" spans="1:11" x14ac:dyDescent="0.2">
      <c r="A73" s="8"/>
      <c r="B73" s="147"/>
      <c r="C73" s="316" t="s">
        <v>148</v>
      </c>
      <c r="D73" s="66"/>
      <c r="E73" s="66"/>
      <c r="F73" s="299"/>
      <c r="G73" s="307">
        <f>17037922.94+1683000.02</f>
        <v>18720922.960000001</v>
      </c>
      <c r="H73" s="361">
        <v>17037858.859999999</v>
      </c>
      <c r="I73" s="371">
        <f t="shared" si="0"/>
        <v>1683064.1000000015</v>
      </c>
      <c r="J73" s="377"/>
      <c r="K73" s="27"/>
    </row>
    <row r="74" spans="1:11" ht="15.75" customHeight="1" x14ac:dyDescent="0.2">
      <c r="B74" s="147"/>
      <c r="C74" s="316" t="s">
        <v>74</v>
      </c>
      <c r="D74" s="66"/>
      <c r="E74" s="66"/>
      <c r="F74" s="61"/>
      <c r="G74" s="307">
        <f>51796930.2+224451.96</f>
        <v>52021382.160000004</v>
      </c>
      <c r="H74" s="361">
        <v>31148222.510000002</v>
      </c>
      <c r="I74" s="371">
        <f t="shared" si="0"/>
        <v>20873159.650000002</v>
      </c>
      <c r="J74" s="377"/>
      <c r="K74" s="27"/>
    </row>
    <row r="75" spans="1:11" x14ac:dyDescent="0.2">
      <c r="A75" s="8"/>
      <c r="B75" s="147"/>
      <c r="C75" s="316" t="s">
        <v>40</v>
      </c>
      <c r="D75" s="66"/>
      <c r="E75" s="66"/>
      <c r="F75" s="61"/>
      <c r="G75" s="307">
        <v>4621488.09</v>
      </c>
      <c r="H75" s="361">
        <v>3374623.35</v>
      </c>
      <c r="I75" s="371">
        <f t="shared" si="0"/>
        <v>1246864.7399999998</v>
      </c>
      <c r="J75" s="377"/>
      <c r="K75" s="27"/>
    </row>
    <row r="76" spans="1:11" hidden="1" x14ac:dyDescent="0.2">
      <c r="A76" s="8"/>
      <c r="B76" s="147"/>
      <c r="C76" s="316" t="s">
        <v>161</v>
      </c>
      <c r="D76" s="66"/>
      <c r="E76" s="66"/>
      <c r="F76" s="61"/>
      <c r="G76" s="307">
        <v>0</v>
      </c>
      <c r="H76" s="361">
        <f>+H722</f>
        <v>0</v>
      </c>
      <c r="I76" s="371">
        <f t="shared" si="0"/>
        <v>0</v>
      </c>
      <c r="J76" s="377"/>
      <c r="K76" s="27"/>
    </row>
    <row r="77" spans="1:11" hidden="1" x14ac:dyDescent="0.2">
      <c r="A77" s="8"/>
      <c r="B77" s="147"/>
      <c r="C77" s="316" t="s">
        <v>42</v>
      </c>
      <c r="D77" s="66"/>
      <c r="E77" s="66"/>
      <c r="F77" s="61"/>
      <c r="G77" s="307">
        <v>0</v>
      </c>
      <c r="H77" s="361">
        <v>0</v>
      </c>
      <c r="I77" s="371">
        <f t="shared" si="0"/>
        <v>0</v>
      </c>
      <c r="J77" s="377"/>
      <c r="K77" s="27"/>
    </row>
    <row r="78" spans="1:11" x14ac:dyDescent="0.2">
      <c r="B78" s="147"/>
      <c r="C78" s="316" t="s">
        <v>166</v>
      </c>
      <c r="D78" s="66"/>
      <c r="E78" s="66"/>
      <c r="F78" s="61"/>
      <c r="G78" s="307">
        <v>19557307.149999999</v>
      </c>
      <c r="H78" s="361">
        <v>19557290.02</v>
      </c>
      <c r="I78" s="371">
        <f t="shared" si="0"/>
        <v>17.129999998956919</v>
      </c>
      <c r="J78" s="377"/>
      <c r="K78" s="27"/>
    </row>
    <row r="79" spans="1:11" x14ac:dyDescent="0.2">
      <c r="B79" s="147"/>
      <c r="C79" s="147" t="s">
        <v>91</v>
      </c>
      <c r="D79" s="66"/>
      <c r="E79" s="66"/>
      <c r="F79" s="61"/>
      <c r="G79" s="307">
        <f>54214510.97+58000</f>
        <v>54272510.969999999</v>
      </c>
      <c r="H79" s="361">
        <v>48205139.479999997</v>
      </c>
      <c r="I79" s="371">
        <f t="shared" si="0"/>
        <v>6067371.4900000021</v>
      </c>
      <c r="J79" s="377"/>
      <c r="K79" s="27"/>
    </row>
    <row r="80" spans="1:11" x14ac:dyDescent="0.2">
      <c r="B80" s="147"/>
      <c r="C80" s="147" t="s">
        <v>132</v>
      </c>
      <c r="D80" s="66"/>
      <c r="E80" s="66"/>
      <c r="F80" s="61"/>
      <c r="G80" s="315">
        <v>14335905.66</v>
      </c>
      <c r="H80" s="86">
        <v>9798745.9900000002</v>
      </c>
      <c r="I80" s="146">
        <f t="shared" si="0"/>
        <v>4537159.67</v>
      </c>
      <c r="J80" s="377"/>
      <c r="K80" s="27"/>
    </row>
    <row r="81" spans="2:11" ht="15" thickBot="1" x14ac:dyDescent="0.25">
      <c r="B81" s="147"/>
      <c r="C81" s="149"/>
      <c r="D81" s="61"/>
      <c r="E81" s="66"/>
      <c r="F81" s="61"/>
      <c r="G81" s="87">
        <f>SUM(G67:G80)</f>
        <v>492234079.36999995</v>
      </c>
      <c r="H81" s="87">
        <f>SUM(H68:H80)-1</f>
        <v>161520213.16</v>
      </c>
      <c r="I81" s="150">
        <f>SUM(I67:I80)</f>
        <v>330713865.21000004</v>
      </c>
      <c r="J81" s="377"/>
      <c r="K81" s="27"/>
    </row>
    <row r="82" spans="2:11" ht="15" thickTop="1" x14ac:dyDescent="0.2">
      <c r="B82" s="147"/>
      <c r="C82" s="151"/>
      <c r="D82" s="134"/>
      <c r="E82" s="152"/>
      <c r="F82" s="152"/>
      <c r="G82" s="86"/>
      <c r="H82" s="86"/>
      <c r="I82" s="148"/>
      <c r="J82" s="377"/>
      <c r="K82" s="27"/>
    </row>
    <row r="83" spans="2:11" x14ac:dyDescent="0.2">
      <c r="B83" s="147"/>
      <c r="C83" s="61"/>
      <c r="D83" s="61"/>
      <c r="E83" s="66"/>
      <c r="F83" s="66"/>
      <c r="G83" s="55"/>
      <c r="H83" s="55"/>
      <c r="I83" s="55"/>
      <c r="J83" s="377"/>
      <c r="K83" s="27"/>
    </row>
    <row r="84" spans="2:11" x14ac:dyDescent="0.2">
      <c r="B84" s="147"/>
      <c r="C84" s="61"/>
      <c r="D84" s="61"/>
      <c r="E84" s="66"/>
      <c r="F84" s="66"/>
      <c r="G84" s="55"/>
      <c r="H84" s="55"/>
      <c r="I84" s="55"/>
      <c r="J84" s="377"/>
      <c r="K84" s="27"/>
    </row>
    <row r="85" spans="2:11" x14ac:dyDescent="0.2">
      <c r="B85" s="392"/>
      <c r="C85" s="134"/>
      <c r="D85" s="134"/>
      <c r="E85" s="152"/>
      <c r="F85" s="152"/>
      <c r="G85" s="86"/>
      <c r="H85" s="86"/>
      <c r="I85" s="86"/>
      <c r="J85" s="393"/>
      <c r="K85" s="27"/>
    </row>
    <row r="86" spans="2:11" ht="18" customHeight="1" x14ac:dyDescent="0.2">
      <c r="B86" s="147"/>
      <c r="C86" s="66"/>
      <c r="D86" s="131" t="s">
        <v>238</v>
      </c>
      <c r="E86" s="131"/>
      <c r="F86" s="131"/>
      <c r="G86" s="131"/>
      <c r="H86" s="83"/>
      <c r="I86" s="83"/>
      <c r="J86" s="377"/>
      <c r="K86" s="27"/>
    </row>
    <row r="87" spans="2:11" x14ac:dyDescent="0.2">
      <c r="B87" s="147"/>
      <c r="C87" s="66"/>
      <c r="D87" s="131" t="s">
        <v>215</v>
      </c>
      <c r="E87" s="131"/>
      <c r="F87" s="131"/>
      <c r="G87" s="131"/>
      <c r="H87" s="83"/>
      <c r="I87" s="83"/>
      <c r="J87" s="377"/>
      <c r="K87" s="27"/>
    </row>
    <row r="88" spans="2:11" x14ac:dyDescent="0.2">
      <c r="B88" s="149"/>
      <c r="C88" s="61"/>
      <c r="D88" s="164" t="s">
        <v>239</v>
      </c>
      <c r="E88" s="380"/>
      <c r="F88" s="381"/>
      <c r="G88" s="381"/>
      <c r="H88" s="83"/>
      <c r="I88" s="83"/>
      <c r="J88" s="382"/>
    </row>
    <row r="89" spans="2:11" x14ac:dyDescent="0.2">
      <c r="B89" s="149"/>
      <c r="C89" s="61"/>
      <c r="D89" s="131" t="s">
        <v>236</v>
      </c>
      <c r="E89" s="131"/>
      <c r="F89" s="131"/>
      <c r="G89" s="131"/>
      <c r="H89" s="83"/>
      <c r="I89" s="83"/>
      <c r="J89" s="382"/>
    </row>
    <row r="90" spans="2:11" x14ac:dyDescent="0.2">
      <c r="B90" s="149"/>
      <c r="C90" s="61"/>
      <c r="D90" s="131" t="s">
        <v>237</v>
      </c>
      <c r="E90" s="131"/>
      <c r="F90" s="131"/>
      <c r="G90" s="131"/>
      <c r="H90" s="83"/>
      <c r="I90" s="83"/>
      <c r="J90" s="382"/>
    </row>
    <row r="91" spans="2:11" x14ac:dyDescent="0.2">
      <c r="B91" s="149"/>
      <c r="C91" s="61"/>
      <c r="D91" s="131" t="s">
        <v>56</v>
      </c>
      <c r="E91" s="131"/>
      <c r="F91" s="131"/>
      <c r="G91" s="131"/>
      <c r="H91" s="83"/>
      <c r="I91" s="83"/>
      <c r="J91" s="382"/>
    </row>
    <row r="92" spans="2:11" x14ac:dyDescent="0.2">
      <c r="B92" s="149"/>
      <c r="C92" s="48"/>
      <c r="D92" s="61"/>
      <c r="E92" s="61"/>
      <c r="F92" s="48"/>
      <c r="G92" s="111"/>
      <c r="H92" s="61"/>
      <c r="I92" s="61"/>
      <c r="J92" s="382"/>
    </row>
    <row r="93" spans="2:11" x14ac:dyDescent="0.2">
      <c r="B93" s="149"/>
      <c r="C93" s="53" t="s">
        <v>170</v>
      </c>
      <c r="D93" s="53" t="s">
        <v>57</v>
      </c>
      <c r="E93" s="53"/>
      <c r="F93" s="48"/>
      <c r="G93" s="48"/>
      <c r="H93" s="61"/>
      <c r="I93" s="48"/>
      <c r="J93" s="382"/>
    </row>
    <row r="94" spans="2:11" ht="15" thickBot="1" x14ac:dyDescent="0.25">
      <c r="B94" s="149"/>
      <c r="C94" s="48"/>
      <c r="D94" s="48"/>
      <c r="E94" s="48"/>
      <c r="F94" s="48"/>
      <c r="G94" s="48"/>
      <c r="H94" s="48"/>
      <c r="I94" s="48"/>
      <c r="J94" s="382"/>
    </row>
    <row r="95" spans="2:11" ht="21" customHeight="1" thickBot="1" x14ac:dyDescent="0.25">
      <c r="B95" s="149"/>
      <c r="C95" s="48"/>
      <c r="D95" s="89" t="s">
        <v>171</v>
      </c>
      <c r="E95" s="90" t="s">
        <v>92</v>
      </c>
      <c r="F95" s="90" t="s">
        <v>159</v>
      </c>
      <c r="G95" s="90" t="s">
        <v>160</v>
      </c>
      <c r="H95" s="133" t="s">
        <v>55</v>
      </c>
      <c r="I95" s="91" t="s">
        <v>214</v>
      </c>
      <c r="J95" s="382"/>
    </row>
    <row r="96" spans="2:11" ht="9" customHeight="1" x14ac:dyDescent="0.2">
      <c r="B96" s="149"/>
      <c r="C96" s="48"/>
      <c r="D96" s="132"/>
      <c r="E96" s="153"/>
      <c r="F96" s="153"/>
      <c r="G96" s="154"/>
      <c r="H96" s="154"/>
      <c r="I96" s="153"/>
      <c r="J96" s="382"/>
    </row>
    <row r="97" spans="2:10" ht="14.25" customHeight="1" x14ac:dyDescent="0.2">
      <c r="B97" s="149"/>
      <c r="C97" s="48"/>
      <c r="D97" s="48"/>
      <c r="E97" s="48"/>
      <c r="F97" s="48"/>
      <c r="G97" s="61"/>
      <c r="H97" s="61"/>
      <c r="I97" s="48"/>
      <c r="J97" s="382"/>
    </row>
    <row r="98" spans="2:10" ht="14.25" customHeight="1" x14ac:dyDescent="0.2">
      <c r="B98" s="149"/>
      <c r="C98" s="48"/>
      <c r="D98" s="48" t="s">
        <v>165</v>
      </c>
      <c r="E98" s="160">
        <v>97238880</v>
      </c>
      <c r="F98" s="92">
        <v>83697100</v>
      </c>
      <c r="G98" s="92">
        <v>-30801220</v>
      </c>
      <c r="H98" s="55">
        <v>14896456</v>
      </c>
      <c r="I98" s="55">
        <v>-586736</v>
      </c>
      <c r="J98" s="382"/>
    </row>
    <row r="99" spans="2:10" x14ac:dyDescent="0.2">
      <c r="B99" s="149"/>
      <c r="C99" s="48"/>
      <c r="D99" s="48" t="s">
        <v>184</v>
      </c>
      <c r="E99" s="160">
        <v>70888238</v>
      </c>
      <c r="F99" s="92">
        <v>15435455</v>
      </c>
      <c r="G99" s="55">
        <v>28381266</v>
      </c>
      <c r="H99" s="86">
        <v>2179622</v>
      </c>
      <c r="I99" s="86">
        <v>-9830956</v>
      </c>
      <c r="J99" s="382"/>
    </row>
    <row r="100" spans="2:10" ht="15" thickBot="1" x14ac:dyDescent="0.25">
      <c r="B100" s="149"/>
      <c r="C100" s="48"/>
      <c r="D100" s="52" t="s">
        <v>185</v>
      </c>
      <c r="E100" s="161">
        <f>SUM(E98:E99)</f>
        <v>168127118</v>
      </c>
      <c r="F100" s="93">
        <f>SUM(F98:F99)</f>
        <v>99132555</v>
      </c>
      <c r="G100" s="93">
        <f>SUM(G96:G99)</f>
        <v>-2419954</v>
      </c>
      <c r="H100" s="344">
        <f>SUM(H98:H99)</f>
        <v>17076078</v>
      </c>
      <c r="I100" s="155">
        <f>SUM(I98:I99)</f>
        <v>-10417692</v>
      </c>
      <c r="J100" s="383"/>
    </row>
    <row r="101" spans="2:10" ht="18.75" customHeight="1" thickTop="1" thickBot="1" x14ac:dyDescent="0.25">
      <c r="B101" s="149"/>
      <c r="C101" s="48"/>
      <c r="D101" s="48"/>
      <c r="E101" s="48"/>
      <c r="F101" s="48"/>
      <c r="G101" s="48"/>
      <c r="H101" s="48"/>
      <c r="I101" s="61"/>
      <c r="J101" s="382"/>
    </row>
    <row r="102" spans="2:10" ht="15" thickBot="1" x14ac:dyDescent="0.25">
      <c r="B102" s="149"/>
      <c r="C102" s="48"/>
      <c r="D102" s="89" t="s">
        <v>171</v>
      </c>
      <c r="E102" s="91" t="s">
        <v>187</v>
      </c>
      <c r="F102" s="132"/>
      <c r="G102" s="163"/>
      <c r="H102" s="163"/>
      <c r="I102" s="132"/>
      <c r="J102" s="382"/>
    </row>
    <row r="103" spans="2:10" ht="18" customHeight="1" x14ac:dyDescent="0.2">
      <c r="B103" s="149"/>
      <c r="C103" s="48"/>
      <c r="D103" s="132"/>
      <c r="E103" s="153"/>
      <c r="F103" s="132"/>
      <c r="G103" s="61"/>
      <c r="H103" s="61"/>
      <c r="I103" s="345"/>
      <c r="J103" s="382"/>
    </row>
    <row r="104" spans="2:10" ht="14.25" customHeight="1" x14ac:dyDescent="0.2">
      <c r="B104" s="149"/>
      <c r="C104" s="48"/>
      <c r="D104" s="48" t="s">
        <v>165</v>
      </c>
      <c r="E104" s="325">
        <f>SUM(F98:I98)</f>
        <v>67205600</v>
      </c>
      <c r="F104" s="92"/>
      <c r="G104" s="92"/>
      <c r="H104" s="61"/>
      <c r="I104" s="55"/>
      <c r="J104" s="382"/>
    </row>
    <row r="105" spans="2:10" x14ac:dyDescent="0.2">
      <c r="B105" s="149"/>
      <c r="C105" s="48"/>
      <c r="D105" s="48" t="s">
        <v>184</v>
      </c>
      <c r="E105" s="325">
        <f>SUM(F99:I99)</f>
        <v>36165387</v>
      </c>
      <c r="F105" s="92"/>
      <c r="G105" s="55"/>
      <c r="H105" s="61"/>
      <c r="I105" s="55"/>
      <c r="J105" s="382"/>
    </row>
    <row r="106" spans="2:10" ht="15" thickBot="1" x14ac:dyDescent="0.25">
      <c r="B106" s="149"/>
      <c r="C106" s="48"/>
      <c r="D106" s="52" t="s">
        <v>185</v>
      </c>
      <c r="E106" s="161">
        <f>SUM(E104:E105)</f>
        <v>103370987</v>
      </c>
      <c r="F106" s="162"/>
      <c r="G106" s="162"/>
      <c r="H106" s="76"/>
      <c r="I106" s="57"/>
      <c r="J106" s="383"/>
    </row>
    <row r="107" spans="2:10" ht="15" thickTop="1" x14ac:dyDescent="0.2">
      <c r="B107" s="149"/>
      <c r="C107" s="48"/>
      <c r="D107" s="52"/>
      <c r="E107" s="308"/>
      <c r="F107" s="162"/>
      <c r="G107" s="162"/>
      <c r="H107" s="76"/>
      <c r="I107" s="57"/>
      <c r="J107" s="383"/>
    </row>
    <row r="108" spans="2:10" x14ac:dyDescent="0.2">
      <c r="B108" s="149"/>
      <c r="C108" s="48"/>
      <c r="D108" s="52"/>
      <c r="E108" s="308"/>
      <c r="F108" s="326"/>
      <c r="G108" s="162"/>
      <c r="H108" s="76"/>
      <c r="I108" s="57"/>
      <c r="J108" s="383"/>
    </row>
    <row r="109" spans="2:10" x14ac:dyDescent="0.2">
      <c r="B109" s="149"/>
      <c r="C109" s="53" t="s">
        <v>208</v>
      </c>
      <c r="D109" s="309" t="s">
        <v>241</v>
      </c>
      <c r="E109" s="309"/>
      <c r="F109" s="162"/>
      <c r="G109" s="162"/>
      <c r="H109" s="76"/>
      <c r="I109" s="57"/>
      <c r="J109" s="383"/>
    </row>
    <row r="110" spans="2:10" ht="6.75" customHeight="1" x14ac:dyDescent="0.2">
      <c r="B110" s="149"/>
      <c r="C110" s="48"/>
      <c r="D110" s="52"/>
      <c r="E110" s="308"/>
      <c r="F110" s="162"/>
      <c r="G110" s="162"/>
      <c r="H110" s="76"/>
      <c r="I110" s="57"/>
      <c r="J110" s="383"/>
    </row>
    <row r="111" spans="2:10" x14ac:dyDescent="0.2">
      <c r="B111" s="149"/>
      <c r="C111" s="48"/>
      <c r="D111" s="131" t="s">
        <v>248</v>
      </c>
      <c r="E111" s="310"/>
      <c r="F111" s="107"/>
      <c r="G111" s="107"/>
      <c r="H111" s="61"/>
      <c r="I111" s="57"/>
      <c r="J111" s="383"/>
    </row>
    <row r="112" spans="2:10" x14ac:dyDescent="0.2">
      <c r="B112" s="149"/>
      <c r="C112" s="53"/>
      <c r="D112" s="131"/>
      <c r="E112" s="48"/>
      <c r="F112" s="48"/>
      <c r="G112" s="107"/>
      <c r="H112" s="107"/>
      <c r="I112" s="61"/>
      <c r="J112" s="382"/>
    </row>
    <row r="113" spans="1:10" x14ac:dyDescent="0.2">
      <c r="B113" s="149"/>
      <c r="C113" s="53"/>
      <c r="D113" s="48"/>
      <c r="E113" s="48"/>
      <c r="F113" s="48"/>
      <c r="G113" s="107"/>
      <c r="H113" s="107"/>
      <c r="I113" s="61"/>
      <c r="J113" s="382"/>
    </row>
    <row r="114" spans="1:10" x14ac:dyDescent="0.2">
      <c r="B114" s="149"/>
      <c r="C114" s="48"/>
      <c r="D114" s="64" t="s">
        <v>4</v>
      </c>
      <c r="E114" s="64"/>
      <c r="F114" s="65"/>
      <c r="G114" s="61"/>
      <c r="H114" s="107"/>
      <c r="I114" s="55"/>
      <c r="J114" s="382"/>
    </row>
    <row r="115" spans="1:10" x14ac:dyDescent="0.2">
      <c r="B115" s="149"/>
      <c r="C115" s="48"/>
      <c r="D115" s="61"/>
      <c r="E115" s="61"/>
      <c r="F115" s="61"/>
      <c r="G115" s="61"/>
      <c r="H115" s="61"/>
      <c r="I115" s="123"/>
      <c r="J115" s="382"/>
    </row>
    <row r="116" spans="1:10" x14ac:dyDescent="0.2">
      <c r="B116" s="149"/>
      <c r="C116" s="63" t="s">
        <v>88</v>
      </c>
      <c r="D116" s="76" t="s">
        <v>274</v>
      </c>
      <c r="E116" s="76"/>
      <c r="F116" s="61"/>
      <c r="G116" s="61"/>
      <c r="H116" s="61"/>
      <c r="I116" s="49"/>
      <c r="J116" s="384"/>
    </row>
    <row r="117" spans="1:10" x14ac:dyDescent="0.2">
      <c r="B117" s="149"/>
      <c r="C117" s="61"/>
      <c r="D117" s="76"/>
      <c r="E117" s="76"/>
      <c r="F117" s="61"/>
      <c r="G117" s="61"/>
      <c r="H117" s="7"/>
      <c r="I117" s="49"/>
      <c r="J117" s="384"/>
    </row>
    <row r="118" spans="1:10" x14ac:dyDescent="0.2">
      <c r="B118" s="149"/>
      <c r="C118" s="61"/>
      <c r="D118" s="76"/>
      <c r="E118" s="76"/>
      <c r="F118" s="61" t="s">
        <v>64</v>
      </c>
      <c r="G118" s="61"/>
      <c r="H118" s="92">
        <v>856444.29</v>
      </c>
      <c r="I118" s="49"/>
      <c r="J118" s="384"/>
    </row>
    <row r="119" spans="1:10" x14ac:dyDescent="0.2">
      <c r="B119" s="149"/>
      <c r="C119" s="61"/>
      <c r="D119" s="76"/>
      <c r="E119" s="61"/>
      <c r="F119" s="61" t="s">
        <v>65</v>
      </c>
      <c r="G119" s="94"/>
      <c r="H119" s="99">
        <v>11303004.960000001</v>
      </c>
      <c r="I119" s="49"/>
      <c r="J119" s="384"/>
    </row>
    <row r="120" spans="1:10" ht="14.25" customHeight="1" thickBot="1" x14ac:dyDescent="0.25">
      <c r="B120" s="149"/>
      <c r="C120" s="61"/>
      <c r="D120" s="61"/>
      <c r="E120" s="61"/>
      <c r="F120" s="61"/>
      <c r="G120" s="80" t="s">
        <v>117</v>
      </c>
      <c r="H120" s="95">
        <f>SUM(H118:H119)</f>
        <v>12159449.25</v>
      </c>
      <c r="I120" s="49"/>
      <c r="J120" s="384"/>
    </row>
    <row r="121" spans="1:10" ht="15.75" customHeight="1" thickTop="1" x14ac:dyDescent="0.2">
      <c r="B121" s="149"/>
      <c r="C121" s="61"/>
      <c r="D121" s="61"/>
      <c r="E121" s="61"/>
      <c r="F121" s="61"/>
      <c r="G121" s="80"/>
      <c r="H121" s="96"/>
      <c r="I121" s="49"/>
      <c r="J121" s="384"/>
    </row>
    <row r="122" spans="1:10" ht="15.75" customHeight="1" x14ac:dyDescent="0.2">
      <c r="B122" s="149"/>
      <c r="C122" s="61"/>
      <c r="D122" s="64" t="s">
        <v>133</v>
      </c>
      <c r="E122" s="64"/>
      <c r="F122" s="61"/>
      <c r="G122" s="80"/>
      <c r="H122" s="96"/>
      <c r="I122" s="49"/>
      <c r="J122" s="384"/>
    </row>
    <row r="123" spans="1:10" x14ac:dyDescent="0.2">
      <c r="A123" s="7"/>
      <c r="B123" s="149"/>
      <c r="C123" s="61"/>
      <c r="D123" s="61"/>
      <c r="E123" s="61"/>
      <c r="F123" s="61"/>
      <c r="G123" s="80"/>
      <c r="H123" s="96"/>
      <c r="I123" s="49"/>
      <c r="J123" s="384"/>
    </row>
    <row r="124" spans="1:10" x14ac:dyDescent="0.2">
      <c r="B124" s="149"/>
      <c r="C124" s="63" t="s">
        <v>116</v>
      </c>
      <c r="D124" s="97" t="s">
        <v>273</v>
      </c>
      <c r="E124" s="97"/>
      <c r="F124" s="76"/>
      <c r="G124" s="80"/>
      <c r="H124" s="96"/>
      <c r="I124" s="49"/>
      <c r="J124" s="384"/>
    </row>
    <row r="125" spans="1:10" x14ac:dyDescent="0.2">
      <c r="B125" s="149"/>
      <c r="C125" s="61"/>
      <c r="D125" s="76"/>
      <c r="E125" s="76"/>
      <c r="F125" s="76"/>
      <c r="G125" s="80"/>
      <c r="H125" s="96"/>
      <c r="I125" s="49"/>
      <c r="J125" s="384"/>
    </row>
    <row r="126" spans="1:10" ht="15" customHeight="1" x14ac:dyDescent="0.2">
      <c r="B126" s="149"/>
      <c r="C126" s="61"/>
      <c r="D126" s="76"/>
      <c r="E126" s="76"/>
      <c r="F126" s="76"/>
      <c r="G126" s="80"/>
      <c r="H126" s="96"/>
      <c r="I126" s="49"/>
      <c r="J126" s="384"/>
    </row>
    <row r="127" spans="1:10" ht="14.25" customHeight="1" x14ac:dyDescent="0.2">
      <c r="B127" s="149"/>
      <c r="C127" s="61"/>
      <c r="D127" s="7"/>
      <c r="E127" s="61"/>
      <c r="F127" s="61" t="s">
        <v>245</v>
      </c>
      <c r="G127" s="80"/>
      <c r="H127" s="92">
        <v>1094162310.0799999</v>
      </c>
      <c r="I127" s="49"/>
      <c r="J127" s="384"/>
    </row>
    <row r="128" spans="1:10" hidden="1" x14ac:dyDescent="0.2">
      <c r="B128" s="149"/>
      <c r="C128" s="61"/>
      <c r="D128" s="61" t="s">
        <v>154</v>
      </c>
      <c r="E128" s="61"/>
      <c r="F128" s="61"/>
      <c r="G128" s="80"/>
      <c r="H128" s="92"/>
      <c r="I128" s="49"/>
      <c r="J128" s="384"/>
    </row>
    <row r="129" spans="2:10" ht="14.25" hidden="1" customHeight="1" x14ac:dyDescent="0.2">
      <c r="B129" s="149"/>
      <c r="C129" s="61"/>
      <c r="D129" s="61" t="s">
        <v>134</v>
      </c>
      <c r="E129" s="61"/>
      <c r="F129" s="61"/>
      <c r="G129" s="98"/>
      <c r="H129" s="92"/>
      <c r="I129" s="49"/>
      <c r="J129" s="384"/>
    </row>
    <row r="130" spans="2:10" ht="14.25" hidden="1" customHeight="1" x14ac:dyDescent="0.2">
      <c r="B130" s="149"/>
      <c r="C130" s="61"/>
      <c r="D130" s="61" t="s">
        <v>149</v>
      </c>
      <c r="E130" s="61"/>
      <c r="F130" s="61"/>
      <c r="G130" s="98"/>
      <c r="H130" s="99"/>
      <c r="I130" s="49"/>
      <c r="J130" s="384"/>
    </row>
    <row r="131" spans="2:10" ht="15" thickBot="1" x14ac:dyDescent="0.25">
      <c r="B131" s="149"/>
      <c r="C131" s="61"/>
      <c r="D131" s="76"/>
      <c r="E131" s="61"/>
      <c r="F131" s="76" t="s">
        <v>135</v>
      </c>
      <c r="G131" s="80"/>
      <c r="H131" s="100">
        <f>SUM(H127:H130)</f>
        <v>1094162310.0799999</v>
      </c>
      <c r="I131" s="49"/>
      <c r="J131" s="384"/>
    </row>
    <row r="132" spans="2:10" ht="15.75" thickTop="1" thickBot="1" x14ac:dyDescent="0.25">
      <c r="B132" s="385"/>
      <c r="C132" s="101"/>
      <c r="D132" s="102"/>
      <c r="E132" s="102"/>
      <c r="F132" s="102"/>
      <c r="G132" s="103"/>
      <c r="H132" s="95"/>
      <c r="I132" s="104"/>
      <c r="J132" s="386"/>
    </row>
    <row r="133" spans="2:10" ht="21" customHeight="1" thickTop="1" x14ac:dyDescent="0.2">
      <c r="B133" s="149"/>
      <c r="C133" s="63" t="s">
        <v>120</v>
      </c>
      <c r="D133" s="64" t="s">
        <v>126</v>
      </c>
      <c r="E133" s="64"/>
      <c r="F133" s="61"/>
      <c r="G133" s="80"/>
      <c r="H133" s="96"/>
      <c r="I133" s="49"/>
      <c r="J133" s="384"/>
    </row>
    <row r="134" spans="2:10" x14ac:dyDescent="0.2">
      <c r="B134" s="149"/>
      <c r="C134" s="61"/>
      <c r="D134" s="64"/>
      <c r="E134" s="64"/>
      <c r="F134" s="61"/>
      <c r="G134" s="80"/>
      <c r="H134" s="96"/>
      <c r="I134" s="49"/>
      <c r="J134" s="384"/>
    </row>
    <row r="135" spans="2:10" ht="20.25" customHeight="1" x14ac:dyDescent="0.2">
      <c r="B135" s="149"/>
      <c r="C135" s="7"/>
      <c r="D135" s="97" t="s">
        <v>272</v>
      </c>
      <c r="E135" s="97"/>
      <c r="F135" s="76"/>
      <c r="G135" s="80"/>
      <c r="H135" s="96"/>
      <c r="I135" s="49"/>
      <c r="J135" s="384"/>
    </row>
    <row r="136" spans="2:10" x14ac:dyDescent="0.2">
      <c r="B136" s="149"/>
      <c r="C136" s="63"/>
      <c r="D136" s="76"/>
      <c r="E136" s="76"/>
      <c r="F136" s="76"/>
      <c r="G136" s="80"/>
      <c r="H136" s="96"/>
      <c r="I136" s="49"/>
      <c r="J136" s="384"/>
    </row>
    <row r="137" spans="2:10" x14ac:dyDescent="0.2">
      <c r="B137" s="149"/>
      <c r="C137" s="61"/>
      <c r="D137" s="76"/>
      <c r="E137" s="76"/>
      <c r="F137" s="7"/>
      <c r="G137" s="80"/>
      <c r="H137" s="96"/>
      <c r="I137" s="57"/>
      <c r="J137" s="384"/>
    </row>
    <row r="138" spans="2:10" x14ac:dyDescent="0.2">
      <c r="B138" s="149"/>
      <c r="C138" s="61"/>
      <c r="D138" s="83" t="s">
        <v>130</v>
      </c>
      <c r="E138" s="83"/>
      <c r="F138" s="83"/>
      <c r="G138" s="97"/>
      <c r="H138" s="387">
        <v>5746866.2300000004</v>
      </c>
      <c r="I138" s="57"/>
      <c r="J138" s="384"/>
    </row>
    <row r="139" spans="2:10" x14ac:dyDescent="0.2">
      <c r="B139" s="149"/>
      <c r="C139" s="61"/>
      <c r="D139" s="83" t="s">
        <v>114</v>
      </c>
      <c r="E139" s="83"/>
      <c r="F139" s="83"/>
      <c r="G139" s="97"/>
      <c r="H139" s="92">
        <v>760282.77</v>
      </c>
      <c r="I139" s="57"/>
      <c r="J139" s="384"/>
    </row>
    <row r="140" spans="2:10" x14ac:dyDescent="0.2">
      <c r="B140" s="149"/>
      <c r="C140" s="61"/>
      <c r="D140" s="83" t="s">
        <v>112</v>
      </c>
      <c r="E140" s="83"/>
      <c r="F140" s="83"/>
      <c r="G140" s="97"/>
      <c r="H140" s="387">
        <v>5388950.3099999996</v>
      </c>
      <c r="I140" s="61"/>
      <c r="J140" s="384"/>
    </row>
    <row r="141" spans="2:10" hidden="1" x14ac:dyDescent="0.2">
      <c r="B141" s="149"/>
      <c r="C141" s="61"/>
      <c r="D141" s="83" t="s">
        <v>256</v>
      </c>
      <c r="E141" s="83"/>
      <c r="F141" s="83"/>
      <c r="G141" s="97"/>
      <c r="H141" s="92">
        <v>0</v>
      </c>
      <c r="I141" s="61"/>
      <c r="J141" s="384"/>
    </row>
    <row r="142" spans="2:10" hidden="1" x14ac:dyDescent="0.2">
      <c r="B142" s="149"/>
      <c r="C142" s="61"/>
      <c r="D142" s="83" t="s">
        <v>89</v>
      </c>
      <c r="E142" s="83"/>
      <c r="F142" s="83"/>
      <c r="G142" s="97"/>
      <c r="H142" s="55">
        <v>0</v>
      </c>
      <c r="I142" s="61"/>
      <c r="J142" s="384"/>
    </row>
    <row r="143" spans="2:10" hidden="1" x14ac:dyDescent="0.2">
      <c r="B143" s="149"/>
      <c r="C143" s="61"/>
      <c r="D143" s="83" t="s">
        <v>203</v>
      </c>
      <c r="E143" s="83"/>
      <c r="F143" s="83"/>
      <c r="G143" s="97"/>
      <c r="H143" s="55">
        <v>0</v>
      </c>
      <c r="I143" s="61"/>
      <c r="J143" s="384"/>
    </row>
    <row r="144" spans="2:10" x14ac:dyDescent="0.2">
      <c r="B144" s="149"/>
      <c r="C144" s="61"/>
      <c r="D144" s="105" t="s">
        <v>150</v>
      </c>
      <c r="E144" s="105"/>
      <c r="F144" s="83"/>
      <c r="G144" s="97"/>
      <c r="H144" s="92">
        <v>35915046.520000003</v>
      </c>
      <c r="I144" s="61"/>
      <c r="J144" s="384"/>
    </row>
    <row r="145" spans="2:10" hidden="1" x14ac:dyDescent="0.2">
      <c r="B145" s="149"/>
      <c r="C145" s="61"/>
      <c r="D145" s="83" t="s">
        <v>20</v>
      </c>
      <c r="E145" s="83"/>
      <c r="F145" s="83"/>
      <c r="G145" s="97"/>
      <c r="H145" s="92">
        <v>0</v>
      </c>
      <c r="I145" s="61"/>
      <c r="J145" s="384"/>
    </row>
    <row r="146" spans="2:10" x14ac:dyDescent="0.2">
      <c r="B146" s="149"/>
      <c r="C146" s="61"/>
      <c r="D146" s="105" t="s">
        <v>249</v>
      </c>
      <c r="E146" s="105"/>
      <c r="F146" s="83"/>
      <c r="G146" s="97"/>
      <c r="H146" s="92">
        <v>2797400</v>
      </c>
      <c r="I146" s="61"/>
      <c r="J146" s="384"/>
    </row>
    <row r="147" spans="2:10" ht="15" thickBot="1" x14ac:dyDescent="0.25">
      <c r="B147" s="149"/>
      <c r="C147" s="61"/>
      <c r="D147" s="106"/>
      <c r="E147" s="106"/>
      <c r="F147" s="83"/>
      <c r="G147" s="80" t="s">
        <v>127</v>
      </c>
      <c r="H147" s="100">
        <f>SUM(H138:H146)</f>
        <v>50608545.829999998</v>
      </c>
      <c r="I147" s="61"/>
      <c r="J147" s="384"/>
    </row>
    <row r="148" spans="2:10" ht="15" thickTop="1" x14ac:dyDescent="0.2">
      <c r="B148" s="149"/>
      <c r="C148" s="61"/>
      <c r="D148" s="106"/>
      <c r="E148" s="106"/>
      <c r="F148" s="83"/>
      <c r="G148" s="61"/>
      <c r="H148" s="61"/>
      <c r="I148" s="61"/>
      <c r="J148" s="384"/>
    </row>
    <row r="149" spans="2:10" hidden="1" x14ac:dyDescent="0.2">
      <c r="B149" s="149"/>
      <c r="C149" s="63" t="s">
        <v>128</v>
      </c>
      <c r="D149" s="64" t="s">
        <v>11</v>
      </c>
      <c r="E149" s="64"/>
      <c r="F149" s="65"/>
      <c r="G149" s="48"/>
      <c r="H149" s="107"/>
      <c r="I149" s="61"/>
      <c r="J149" s="384"/>
    </row>
    <row r="150" spans="2:10" hidden="1" x14ac:dyDescent="0.2">
      <c r="B150" s="149"/>
      <c r="C150" s="61"/>
      <c r="D150" s="48"/>
      <c r="E150" s="48"/>
      <c r="F150" s="48"/>
      <c r="G150" s="48"/>
      <c r="H150" s="107"/>
      <c r="I150" s="49"/>
      <c r="J150" s="384"/>
    </row>
    <row r="151" spans="2:10" ht="15" hidden="1" thickBot="1" x14ac:dyDescent="0.25">
      <c r="B151" s="149"/>
      <c r="C151" s="48"/>
      <c r="D151" s="48"/>
      <c r="E151" s="48"/>
      <c r="F151" s="48"/>
      <c r="G151" s="48"/>
      <c r="H151" s="107"/>
      <c r="I151" s="108" t="e">
        <f>+#REF!</f>
        <v>#REF!</v>
      </c>
      <c r="J151" s="382"/>
    </row>
    <row r="152" spans="2:10" hidden="1" x14ac:dyDescent="0.2">
      <c r="B152" s="149"/>
      <c r="C152" s="48" t="s">
        <v>182</v>
      </c>
      <c r="D152" s="48"/>
      <c r="E152" s="48"/>
      <c r="F152" s="48"/>
      <c r="G152" s="48"/>
      <c r="H152" s="61"/>
      <c r="I152" s="48"/>
      <c r="J152" s="384"/>
    </row>
    <row r="153" spans="2:10" hidden="1" x14ac:dyDescent="0.2">
      <c r="B153" s="149"/>
      <c r="C153" s="48"/>
      <c r="D153" s="48"/>
      <c r="E153" s="48"/>
      <c r="F153" s="48"/>
      <c r="G153" s="48"/>
      <c r="H153" s="61"/>
      <c r="I153" s="48"/>
      <c r="J153" s="384"/>
    </row>
    <row r="154" spans="2:10" hidden="1" x14ac:dyDescent="0.2">
      <c r="B154" s="149"/>
      <c r="C154" s="48" t="s">
        <v>71</v>
      </c>
      <c r="D154" s="48"/>
      <c r="E154" s="48"/>
      <c r="F154" s="48"/>
      <c r="G154" s="48"/>
      <c r="H154" s="61"/>
      <c r="I154" s="49"/>
      <c r="J154" s="384"/>
    </row>
    <row r="155" spans="2:10" hidden="1" x14ac:dyDescent="0.2">
      <c r="B155" s="149"/>
      <c r="C155" s="48" t="s">
        <v>188</v>
      </c>
      <c r="D155" s="48"/>
      <c r="E155" s="48"/>
      <c r="F155" s="48"/>
      <c r="G155" s="48"/>
      <c r="H155" s="61"/>
      <c r="I155" s="49"/>
      <c r="J155" s="384"/>
    </row>
    <row r="156" spans="2:10" hidden="1" x14ac:dyDescent="0.2">
      <c r="B156" s="149"/>
      <c r="C156" s="48" t="s">
        <v>151</v>
      </c>
      <c r="D156" s="48"/>
      <c r="E156" s="48"/>
      <c r="F156" s="48"/>
      <c r="G156" s="48"/>
      <c r="H156" s="61"/>
      <c r="I156" s="49"/>
      <c r="J156" s="384"/>
    </row>
    <row r="157" spans="2:10" hidden="1" x14ac:dyDescent="0.2">
      <c r="B157" s="149"/>
      <c r="C157" s="48" t="s">
        <v>2</v>
      </c>
      <c r="D157" s="48"/>
      <c r="E157" s="48"/>
      <c r="F157" s="48"/>
      <c r="G157" s="48"/>
      <c r="H157" s="61"/>
      <c r="I157" s="49" t="s">
        <v>72</v>
      </c>
      <c r="J157" s="384"/>
    </row>
    <row r="158" spans="2:10" hidden="1" x14ac:dyDescent="0.2">
      <c r="B158" s="149"/>
      <c r="C158" s="48" t="s">
        <v>3</v>
      </c>
      <c r="D158" s="48"/>
      <c r="E158" s="48"/>
      <c r="F158" s="48"/>
      <c r="G158" s="48"/>
      <c r="H158" s="61"/>
      <c r="I158" s="49"/>
      <c r="J158" s="384"/>
    </row>
    <row r="159" spans="2:10" hidden="1" x14ac:dyDescent="0.2">
      <c r="B159" s="149"/>
      <c r="C159" s="53" t="s">
        <v>106</v>
      </c>
      <c r="D159" s="48"/>
      <c r="E159" s="48"/>
      <c r="F159" s="48"/>
      <c r="G159" s="48"/>
      <c r="H159" s="61"/>
      <c r="I159" s="50">
        <v>0</v>
      </c>
      <c r="J159" s="384"/>
    </row>
    <row r="160" spans="2:10" hidden="1" x14ac:dyDescent="0.2">
      <c r="B160" s="149"/>
      <c r="C160" s="48" t="s">
        <v>107</v>
      </c>
      <c r="D160" s="48"/>
      <c r="E160" s="48"/>
      <c r="F160" s="48"/>
      <c r="G160" s="48"/>
      <c r="H160" s="61"/>
      <c r="I160" s="55"/>
      <c r="J160" s="384"/>
    </row>
    <row r="161" spans="2:10" x14ac:dyDescent="0.2">
      <c r="B161" s="149"/>
      <c r="C161" s="48"/>
      <c r="D161" s="48"/>
      <c r="E161" s="48"/>
      <c r="F161" s="48"/>
      <c r="G161" s="48"/>
      <c r="H161" s="61"/>
      <c r="I161" s="55"/>
      <c r="J161" s="384"/>
    </row>
    <row r="162" spans="2:10" x14ac:dyDescent="0.2">
      <c r="B162" s="149"/>
      <c r="C162" s="156"/>
      <c r="D162" s="53"/>
      <c r="E162" s="53"/>
      <c r="F162" s="48"/>
      <c r="G162" s="48"/>
      <c r="H162" s="7"/>
      <c r="I162" s="96"/>
      <c r="J162" s="384"/>
    </row>
    <row r="163" spans="2:10" ht="21.75" customHeight="1" x14ac:dyDescent="0.2">
      <c r="B163" s="151"/>
      <c r="C163" s="388"/>
      <c r="D163" s="388"/>
      <c r="E163" s="388"/>
      <c r="F163" s="389"/>
      <c r="G163" s="389"/>
      <c r="H163" s="134"/>
      <c r="I163" s="390"/>
      <c r="J163" s="391"/>
    </row>
    <row r="164" spans="2:10" x14ac:dyDescent="0.2">
      <c r="C164" s="48"/>
    </row>
    <row r="165" spans="2:10" x14ac:dyDescent="0.2">
      <c r="H165" s="23"/>
    </row>
    <row r="166" spans="2:10" x14ac:dyDescent="0.2">
      <c r="H166" s="23"/>
    </row>
    <row r="167" spans="2:10" x14ac:dyDescent="0.2">
      <c r="D167" s="34"/>
      <c r="E167" s="36"/>
      <c r="F167" s="9"/>
      <c r="G167" s="35"/>
      <c r="H167" s="11"/>
    </row>
    <row r="168" spans="2:10" x14ac:dyDescent="0.2">
      <c r="D168" s="34"/>
      <c r="E168" s="36"/>
      <c r="F168" s="9"/>
      <c r="G168" s="35"/>
      <c r="H168" s="27"/>
    </row>
    <row r="169" spans="2:10" x14ac:dyDescent="0.2">
      <c r="H169" s="324"/>
    </row>
    <row r="171" spans="2:10" x14ac:dyDescent="0.2">
      <c r="H171" s="37"/>
    </row>
    <row r="172" spans="2:10" x14ac:dyDescent="0.2">
      <c r="H172" s="37"/>
    </row>
    <row r="173" spans="2:10" x14ac:dyDescent="0.2">
      <c r="H173" s="37"/>
    </row>
    <row r="174" spans="2:10" x14ac:dyDescent="0.2">
      <c r="H174" s="37"/>
    </row>
    <row r="175" spans="2:10" x14ac:dyDescent="0.2">
      <c r="H175" s="37"/>
    </row>
    <row r="176" spans="2:10" x14ac:dyDescent="0.2">
      <c r="H176" s="37"/>
    </row>
    <row r="177" spans="8:8" x14ac:dyDescent="0.2">
      <c r="H177" s="37"/>
    </row>
    <row r="178" spans="8:8" x14ac:dyDescent="0.2">
      <c r="H178" s="37"/>
    </row>
    <row r="179" spans="8:8" x14ac:dyDescent="0.2">
      <c r="H179" s="37"/>
    </row>
    <row r="180" spans="8:8" x14ac:dyDescent="0.2">
      <c r="H180" s="37"/>
    </row>
    <row r="181" spans="8:8" x14ac:dyDescent="0.2">
      <c r="H181" s="38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B4:I1871"/>
  <sheetViews>
    <sheetView zoomScale="110" zoomScaleNormal="110" workbookViewId="0">
      <selection activeCell="K21" sqref="K21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9" width="13.85546875" style="18" bestFit="1" customWidth="1"/>
    <col min="10" max="16384" width="11.42578125" style="17"/>
  </cols>
  <sheetData>
    <row r="4" spans="2:7" ht="15" thickBot="1" x14ac:dyDescent="0.25"/>
    <row r="5" spans="2:7" ht="15" thickTop="1" x14ac:dyDescent="0.2">
      <c r="B5" s="237"/>
      <c r="C5" s="238"/>
      <c r="D5" s="238"/>
      <c r="E5" s="238"/>
      <c r="F5" s="238"/>
      <c r="G5" s="239"/>
    </row>
    <row r="6" spans="2:7" x14ac:dyDescent="0.2">
      <c r="B6" s="240"/>
      <c r="C6" s="21"/>
      <c r="D6" s="21"/>
      <c r="E6" s="21"/>
      <c r="F6" s="21"/>
      <c r="G6" s="241"/>
    </row>
    <row r="7" spans="2:7" x14ac:dyDescent="0.2">
      <c r="B7" s="240"/>
      <c r="C7" s="21"/>
      <c r="D7" s="21"/>
      <c r="E7" s="21"/>
      <c r="F7" s="21"/>
      <c r="G7" s="241"/>
    </row>
    <row r="8" spans="2:7" x14ac:dyDescent="0.2">
      <c r="B8" s="240"/>
      <c r="C8" s="5"/>
      <c r="D8" s="5"/>
      <c r="E8" s="5"/>
      <c r="F8" s="5"/>
      <c r="G8" s="241"/>
    </row>
    <row r="9" spans="2:7" x14ac:dyDescent="0.2">
      <c r="B9" s="401" t="s">
        <v>1</v>
      </c>
      <c r="C9" s="402"/>
      <c r="D9" s="402"/>
      <c r="E9" s="402"/>
      <c r="F9" s="402"/>
      <c r="G9" s="403"/>
    </row>
    <row r="10" spans="2:7" x14ac:dyDescent="0.2">
      <c r="B10" s="401" t="str">
        <f>+'CASH F'!$B$10:$F$10</f>
        <v>DEL 01 DE ENERO AL 28 DE FEBRERO 2023</v>
      </c>
      <c r="C10" s="402"/>
      <c r="D10" s="402"/>
      <c r="E10" s="402"/>
      <c r="F10" s="402"/>
      <c r="G10" s="403"/>
    </row>
    <row r="11" spans="2:7" x14ac:dyDescent="0.2">
      <c r="B11" s="401" t="s">
        <v>167</v>
      </c>
      <c r="C11" s="402"/>
      <c r="D11" s="402"/>
      <c r="E11" s="402"/>
      <c r="F11" s="402"/>
      <c r="G11" s="403"/>
    </row>
    <row r="12" spans="2:7" ht="15" thickBot="1" x14ac:dyDescent="0.25">
      <c r="B12" s="251"/>
      <c r="C12" s="22"/>
      <c r="D12" s="22"/>
      <c r="E12" s="22"/>
      <c r="F12" s="22"/>
      <c r="G12" s="252"/>
    </row>
    <row r="13" spans="2:7" x14ac:dyDescent="0.2">
      <c r="B13" s="253"/>
      <c r="C13" s="48"/>
      <c r="D13" s="48"/>
      <c r="E13" s="48"/>
      <c r="F13" s="48"/>
      <c r="G13" s="88"/>
    </row>
    <row r="14" spans="2:7" x14ac:dyDescent="0.2">
      <c r="B14" s="253"/>
      <c r="C14" s="48"/>
      <c r="D14" s="295" t="s">
        <v>276</v>
      </c>
      <c r="E14" s="47"/>
      <c r="F14" s="295" t="s">
        <v>68</v>
      </c>
      <c r="G14" s="88"/>
    </row>
    <row r="15" spans="2:7" x14ac:dyDescent="0.2">
      <c r="B15" s="253"/>
      <c r="C15" s="48"/>
      <c r="D15" s="48"/>
      <c r="E15" s="48"/>
      <c r="F15" s="48"/>
      <c r="G15" s="88"/>
    </row>
    <row r="16" spans="2:7" x14ac:dyDescent="0.2">
      <c r="B16" s="253"/>
      <c r="C16" s="45" t="s">
        <v>194</v>
      </c>
      <c r="D16" s="61"/>
      <c r="E16" s="61"/>
      <c r="F16" s="61"/>
      <c r="G16" s="88"/>
    </row>
    <row r="17" spans="2:7" ht="12.75" hidden="1" customHeight="1" x14ac:dyDescent="0.2">
      <c r="B17" s="253"/>
      <c r="C17" s="48" t="s">
        <v>59</v>
      </c>
      <c r="D17" s="92">
        <v>0</v>
      </c>
      <c r="E17" s="92"/>
      <c r="F17" s="92">
        <f>+D17</f>
        <v>0</v>
      </c>
      <c r="G17" s="88"/>
    </row>
    <row r="18" spans="2:7" hidden="1" x14ac:dyDescent="0.2">
      <c r="B18" s="253"/>
      <c r="C18" s="48" t="s">
        <v>163</v>
      </c>
      <c r="D18" s="92"/>
      <c r="E18" s="92"/>
      <c r="F18" s="92">
        <f>+D18</f>
        <v>0</v>
      </c>
      <c r="G18" s="88"/>
    </row>
    <row r="19" spans="2:7" x14ac:dyDescent="0.2">
      <c r="B19" s="253"/>
      <c r="C19" s="48"/>
      <c r="D19" s="92"/>
      <c r="E19" s="92"/>
      <c r="F19" s="92"/>
      <c r="G19" s="88"/>
    </row>
    <row r="20" spans="2:7" x14ac:dyDescent="0.2">
      <c r="B20" s="253"/>
      <c r="C20" s="48" t="s">
        <v>129</v>
      </c>
      <c r="D20" s="352">
        <v>28621808.32</v>
      </c>
      <c r="E20" s="352"/>
      <c r="F20" s="352">
        <f>28479800.43+D20</f>
        <v>57101608.75</v>
      </c>
      <c r="G20" s="88"/>
    </row>
    <row r="21" spans="2:7" x14ac:dyDescent="0.2">
      <c r="B21" s="253"/>
      <c r="C21" s="48" t="s">
        <v>138</v>
      </c>
      <c r="D21" s="352">
        <v>45536714.630000003</v>
      </c>
      <c r="E21" s="352"/>
      <c r="F21" s="352">
        <f>45347072.21+D21</f>
        <v>90883786.840000004</v>
      </c>
      <c r="G21" s="88"/>
    </row>
    <row r="22" spans="2:7" hidden="1" x14ac:dyDescent="0.2">
      <c r="B22" s="253"/>
      <c r="C22" s="48" t="s">
        <v>144</v>
      </c>
      <c r="D22" s="352">
        <v>0</v>
      </c>
      <c r="E22" s="352"/>
      <c r="F22" s="352">
        <v>0</v>
      </c>
      <c r="G22" s="88"/>
    </row>
    <row r="23" spans="2:7" hidden="1" x14ac:dyDescent="0.2">
      <c r="B23" s="253"/>
      <c r="C23" s="48" t="s">
        <v>146</v>
      </c>
      <c r="D23" s="92">
        <v>0</v>
      </c>
      <c r="E23" s="353"/>
      <c r="F23" s="92">
        <v>0</v>
      </c>
      <c r="G23" s="88"/>
    </row>
    <row r="24" spans="2:7" x14ac:dyDescent="0.2">
      <c r="B24" s="253"/>
      <c r="C24" s="48" t="s">
        <v>87</v>
      </c>
      <c r="D24" s="99">
        <v>2472553.98</v>
      </c>
      <c r="E24" s="338"/>
      <c r="F24" s="99">
        <f>2395237.58+D24</f>
        <v>4867791.5600000005</v>
      </c>
      <c r="G24" s="88"/>
    </row>
    <row r="25" spans="2:7" x14ac:dyDescent="0.2">
      <c r="B25" s="253"/>
      <c r="C25" s="58" t="s">
        <v>168</v>
      </c>
      <c r="D25" s="342">
        <f>SUM(D20:D24)</f>
        <v>76631076.930000007</v>
      </c>
      <c r="E25" s="92"/>
      <c r="F25" s="56">
        <f>SUM(F20:F24)+1</f>
        <v>152853188.15000001</v>
      </c>
      <c r="G25" s="88"/>
    </row>
    <row r="26" spans="2:7" x14ac:dyDescent="0.2">
      <c r="B26" s="253"/>
      <c r="D26" s="338"/>
      <c r="E26" s="298"/>
      <c r="G26" s="88"/>
    </row>
    <row r="27" spans="2:7" x14ac:dyDescent="0.2">
      <c r="B27" s="253"/>
      <c r="C27" s="45" t="s">
        <v>195</v>
      </c>
      <c r="D27" s="254"/>
      <c r="F27" s="340"/>
      <c r="G27" s="88"/>
    </row>
    <row r="28" spans="2:7" x14ac:dyDescent="0.2">
      <c r="B28" s="253"/>
      <c r="C28" s="45"/>
      <c r="D28" s="92"/>
      <c r="E28" s="92"/>
      <c r="F28" s="92"/>
      <c r="G28" s="88"/>
    </row>
    <row r="29" spans="2:7" x14ac:dyDescent="0.2">
      <c r="B29" s="253"/>
      <c r="C29" s="83" t="s">
        <v>75</v>
      </c>
      <c r="D29" s="352">
        <v>57495853.890000001</v>
      </c>
      <c r="E29" s="338"/>
      <c r="F29" s="352">
        <f>57914282.57+D29</f>
        <v>115410136.46000001</v>
      </c>
      <c r="G29" s="88"/>
    </row>
    <row r="30" spans="2:7" x14ac:dyDescent="0.2">
      <c r="B30" s="253"/>
      <c r="C30" s="354" t="s">
        <v>76</v>
      </c>
      <c r="D30" s="352">
        <v>14969022.41</v>
      </c>
      <c r="E30" s="355"/>
      <c r="F30" s="352">
        <f>7479202.34+D30</f>
        <v>22448224.75</v>
      </c>
      <c r="G30" s="88"/>
    </row>
    <row r="31" spans="2:7" x14ac:dyDescent="0.2">
      <c r="B31" s="253"/>
      <c r="C31" s="354" t="s">
        <v>209</v>
      </c>
      <c r="D31" s="352">
        <v>2248254.46</v>
      </c>
      <c r="E31" s="355"/>
      <c r="F31" s="352">
        <f>2407715+D31</f>
        <v>4655969.46</v>
      </c>
      <c r="G31" s="88"/>
    </row>
    <row r="32" spans="2:7" x14ac:dyDescent="0.2">
      <c r="B32" s="253"/>
      <c r="C32" s="354" t="s">
        <v>93</v>
      </c>
      <c r="D32" s="352">
        <v>792414.75999999989</v>
      </c>
      <c r="E32" s="338"/>
      <c r="F32" s="352">
        <f>791657.1+D32</f>
        <v>1584071.8599999999</v>
      </c>
      <c r="G32" s="88"/>
    </row>
    <row r="33" spans="2:7" x14ac:dyDescent="0.2">
      <c r="B33" s="253"/>
      <c r="C33" s="354" t="s">
        <v>77</v>
      </c>
      <c r="D33" s="356">
        <v>350795</v>
      </c>
      <c r="E33" s="338"/>
      <c r="F33" s="356">
        <f>210000+D33</f>
        <v>560795</v>
      </c>
      <c r="G33" s="88"/>
    </row>
    <row r="34" spans="2:7" x14ac:dyDescent="0.2">
      <c r="B34" s="253"/>
      <c r="C34" s="52" t="s">
        <v>79</v>
      </c>
      <c r="D34" s="56">
        <f>SUM(D29:D33)</f>
        <v>75856340.519999996</v>
      </c>
      <c r="E34" s="96"/>
      <c r="F34" s="56">
        <f>SUM(F29:F33)-1</f>
        <v>144659196.53000003</v>
      </c>
      <c r="G34" s="88"/>
    </row>
    <row r="35" spans="2:7" x14ac:dyDescent="0.2">
      <c r="B35" s="253"/>
      <c r="C35" s="52"/>
      <c r="D35" s="96"/>
      <c r="E35" s="96"/>
      <c r="F35" s="96"/>
      <c r="G35" s="88"/>
    </row>
    <row r="36" spans="2:7" hidden="1" x14ac:dyDescent="0.2">
      <c r="B36" s="253"/>
      <c r="C36" s="45" t="s">
        <v>78</v>
      </c>
      <c r="D36" s="92"/>
      <c r="E36" s="44"/>
      <c r="F36" s="92"/>
      <c r="G36" s="88"/>
    </row>
    <row r="37" spans="2:7" hidden="1" x14ac:dyDescent="0.2">
      <c r="B37" s="253"/>
      <c r="C37" s="83" t="s">
        <v>169</v>
      </c>
      <c r="D37" s="109">
        <v>0</v>
      </c>
      <c r="E37" s="44"/>
      <c r="F37" s="99">
        <v>0</v>
      </c>
      <c r="G37" s="88"/>
    </row>
    <row r="38" spans="2:7" hidden="1" x14ac:dyDescent="0.2">
      <c r="B38" s="253"/>
      <c r="C38" s="52" t="s">
        <v>80</v>
      </c>
      <c r="D38" s="77">
        <f>+D37</f>
        <v>0</v>
      </c>
      <c r="E38" s="96"/>
      <c r="F38" s="96">
        <f>SUM(F37)</f>
        <v>0</v>
      </c>
      <c r="G38" s="88"/>
    </row>
    <row r="39" spans="2:7" x14ac:dyDescent="0.2">
      <c r="B39" s="253"/>
      <c r="C39" s="52"/>
      <c r="D39" s="96"/>
      <c r="E39" s="96"/>
      <c r="F39" s="96"/>
      <c r="G39" s="88"/>
    </row>
    <row r="40" spans="2:7" x14ac:dyDescent="0.2">
      <c r="B40" s="253"/>
      <c r="C40" s="58" t="s">
        <v>61</v>
      </c>
      <c r="D40" s="56">
        <f>+D38+D34</f>
        <v>75856340.519999996</v>
      </c>
      <c r="E40" s="56"/>
      <c r="F40" s="56">
        <f t="shared" ref="F40" si="0">+F38+F34</f>
        <v>144659196.53000003</v>
      </c>
      <c r="G40" s="88"/>
    </row>
    <row r="41" spans="2:7" x14ac:dyDescent="0.2">
      <c r="B41" s="253"/>
      <c r="C41" s="48"/>
      <c r="D41" s="92"/>
      <c r="E41" s="92"/>
      <c r="F41" s="99"/>
      <c r="G41" s="88"/>
    </row>
    <row r="42" spans="2:7" ht="15" thickBot="1" x14ac:dyDescent="0.25">
      <c r="B42" s="253"/>
      <c r="C42" s="58" t="s">
        <v>147</v>
      </c>
      <c r="D42" s="100">
        <f>+D25-D40</f>
        <v>774736.41000001132</v>
      </c>
      <c r="E42" s="92"/>
      <c r="F42" s="100">
        <f>+F25-F34-2</f>
        <v>8193989.619999975</v>
      </c>
      <c r="G42" s="88"/>
    </row>
    <row r="43" spans="2:7" ht="15" thickTop="1" x14ac:dyDescent="0.2">
      <c r="B43" s="253"/>
      <c r="C43" s="48"/>
      <c r="D43" s="54"/>
      <c r="E43" s="61"/>
      <c r="F43" s="61"/>
      <c r="G43" s="88"/>
    </row>
    <row r="44" spans="2:7" ht="14.25" hidden="1" customHeight="1" x14ac:dyDescent="0.2">
      <c r="B44" s="253"/>
      <c r="C44" s="45"/>
      <c r="D44" s="54"/>
      <c r="E44" s="61"/>
      <c r="F44" s="61"/>
      <c r="G44" s="88"/>
    </row>
    <row r="45" spans="2:7" hidden="1" x14ac:dyDescent="0.2">
      <c r="B45" s="253"/>
      <c r="C45" s="45"/>
      <c r="D45" s="54"/>
      <c r="E45" s="61"/>
      <c r="F45" s="61"/>
      <c r="G45" s="88"/>
    </row>
    <row r="46" spans="2:7" hidden="1" x14ac:dyDescent="0.2">
      <c r="B46" s="253"/>
      <c r="C46" s="45"/>
      <c r="D46" s="54"/>
      <c r="E46" s="61"/>
      <c r="F46" s="61"/>
      <c r="G46" s="88"/>
    </row>
    <row r="47" spans="2:7" x14ac:dyDescent="0.2">
      <c r="B47" s="253"/>
      <c r="C47" s="53"/>
      <c r="D47" s="76"/>
      <c r="E47" s="44"/>
      <c r="F47" s="44"/>
      <c r="G47" s="88"/>
    </row>
    <row r="48" spans="2:7" x14ac:dyDescent="0.2">
      <c r="B48" s="253"/>
      <c r="C48" s="53"/>
      <c r="D48" s="254"/>
      <c r="E48" s="44"/>
      <c r="F48" s="254"/>
      <c r="G48" s="88"/>
    </row>
    <row r="49" spans="2:9" x14ac:dyDescent="0.2">
      <c r="B49" s="253"/>
      <c r="C49" s="48"/>
      <c r="D49" s="254"/>
      <c r="E49" s="254"/>
      <c r="F49" s="254"/>
      <c r="G49" s="88"/>
    </row>
    <row r="50" spans="2:9" x14ac:dyDescent="0.2">
      <c r="B50" s="253"/>
      <c r="C50" s="48"/>
      <c r="E50" s="48"/>
      <c r="F50" s="111"/>
      <c r="G50" s="88"/>
    </row>
    <row r="51" spans="2:9" ht="15" thickBot="1" x14ac:dyDescent="0.25">
      <c r="B51" s="255"/>
      <c r="C51" s="139"/>
      <c r="D51" s="256"/>
      <c r="E51" s="139"/>
      <c r="F51" s="257"/>
      <c r="G51" s="258"/>
    </row>
    <row r="52" spans="2:9" s="18" customFormat="1" ht="15" thickTop="1" x14ac:dyDescent="0.2">
      <c r="B52" s="13"/>
      <c r="C52" s="13"/>
      <c r="D52" s="13"/>
      <c r="E52" s="13"/>
      <c r="F52" s="13"/>
      <c r="G52" s="13"/>
    </row>
    <row r="53" spans="2:9" s="18" customFormat="1" x14ac:dyDescent="0.2">
      <c r="B53" s="13"/>
      <c r="C53" s="13"/>
      <c r="D53" s="13"/>
      <c r="E53" s="13"/>
      <c r="F53" s="13"/>
      <c r="G53" s="13"/>
    </row>
    <row r="54" spans="2:9" s="18" customFormat="1" x14ac:dyDescent="0.2">
      <c r="B54" s="13"/>
      <c r="C54" s="13"/>
      <c r="D54" s="13"/>
      <c r="E54" s="13"/>
      <c r="F54" s="13"/>
      <c r="G54" s="13"/>
    </row>
    <row r="55" spans="2:9" s="18" customFormat="1" x14ac:dyDescent="0.2">
      <c r="B55" s="13"/>
      <c r="C55" s="13"/>
      <c r="D55" s="13"/>
      <c r="E55" s="13"/>
      <c r="F55" s="13"/>
      <c r="G55" s="13"/>
    </row>
    <row r="56" spans="2:9" s="18" customFormat="1" x14ac:dyDescent="0.2">
      <c r="B56" s="13"/>
      <c r="C56" s="322" t="s">
        <v>253</v>
      </c>
      <c r="D56" s="412" t="s">
        <v>212</v>
      </c>
      <c r="E56" s="412"/>
      <c r="F56" s="412"/>
      <c r="G56" s="13"/>
    </row>
    <row r="57" spans="2:9" s="6" customFormat="1" x14ac:dyDescent="0.2">
      <c r="B57" s="12"/>
      <c r="C57" s="15" t="s">
        <v>254</v>
      </c>
      <c r="D57" s="408" t="s">
        <v>189</v>
      </c>
      <c r="E57" s="408"/>
      <c r="F57" s="408"/>
      <c r="G57" s="14"/>
      <c r="H57" s="3"/>
      <c r="I57" s="3"/>
    </row>
    <row r="58" spans="2:9" s="6" customFormat="1" x14ac:dyDescent="0.2">
      <c r="B58" s="12"/>
      <c r="D58" s="234"/>
      <c r="E58" s="234"/>
      <c r="F58" s="234"/>
      <c r="G58" s="14"/>
      <c r="H58" s="3"/>
      <c r="I58" s="3"/>
    </row>
    <row r="59" spans="2:9" s="18" customFormat="1" x14ac:dyDescent="0.2">
      <c r="B59" s="13"/>
      <c r="C59" s="13"/>
      <c r="D59" s="13"/>
      <c r="E59" s="13"/>
      <c r="F59" s="13"/>
      <c r="G59" s="13"/>
    </row>
    <row r="60" spans="2:9" s="18" customFormat="1" x14ac:dyDescent="0.2">
      <c r="B60" s="13"/>
      <c r="C60" s="13"/>
      <c r="D60" s="13"/>
      <c r="E60" s="13"/>
      <c r="F60" s="13"/>
      <c r="G60" s="13"/>
    </row>
    <row r="61" spans="2:9" s="18" customFormat="1" x14ac:dyDescent="0.2">
      <c r="B61" s="13"/>
      <c r="C61" s="15" t="s">
        <v>251</v>
      </c>
      <c r="D61" s="13"/>
      <c r="E61" s="13"/>
      <c r="F61" s="13"/>
      <c r="G61" s="13"/>
    </row>
    <row r="62" spans="2:9" s="18" customFormat="1" x14ac:dyDescent="0.2">
      <c r="B62" s="13"/>
      <c r="C62" s="235" t="s">
        <v>39</v>
      </c>
      <c r="D62" s="235"/>
      <c r="E62" s="235"/>
      <c r="F62" s="235"/>
      <c r="G62" s="13"/>
    </row>
    <row r="63" spans="2:9" s="18" customFormat="1" x14ac:dyDescent="0.2">
      <c r="B63" s="13"/>
      <c r="C63" s="13"/>
      <c r="D63" s="13"/>
      <c r="E63" s="13"/>
      <c r="F63" s="13"/>
      <c r="G63" s="13"/>
    </row>
    <row r="64" spans="2:9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B3:G81"/>
  <sheetViews>
    <sheetView zoomScale="110" zoomScaleNormal="110" workbookViewId="0">
      <selection activeCell="H7" sqref="H7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16384" width="11.42578125" style="12"/>
  </cols>
  <sheetData>
    <row r="3" spans="2:6" ht="15" thickBot="1" x14ac:dyDescent="0.25"/>
    <row r="4" spans="2:6" ht="15" thickTop="1" x14ac:dyDescent="0.2">
      <c r="B4" s="259"/>
      <c r="C4" s="260"/>
      <c r="D4" s="261"/>
      <c r="E4" s="261"/>
      <c r="F4" s="262"/>
    </row>
    <row r="5" spans="2:6" x14ac:dyDescent="0.2">
      <c r="B5" s="263"/>
      <c r="C5" s="39"/>
      <c r="D5" s="40"/>
      <c r="E5" s="40"/>
      <c r="F5" s="264"/>
    </row>
    <row r="6" spans="2:6" x14ac:dyDescent="0.2">
      <c r="B6" s="263"/>
      <c r="C6" s="39"/>
      <c r="D6" s="40"/>
      <c r="E6" s="40"/>
      <c r="F6" s="264"/>
    </row>
    <row r="7" spans="2:6" x14ac:dyDescent="0.2">
      <c r="B7" s="263"/>
      <c r="C7" s="39"/>
      <c r="D7" s="40"/>
      <c r="E7" s="40"/>
      <c r="F7" s="265"/>
    </row>
    <row r="8" spans="2:6" x14ac:dyDescent="0.2">
      <c r="B8" s="266"/>
      <c r="C8" s="20"/>
      <c r="D8" s="20"/>
      <c r="E8" s="20"/>
      <c r="F8" s="267"/>
    </row>
    <row r="9" spans="2:6" x14ac:dyDescent="0.2">
      <c r="B9" s="401" t="s">
        <v>7</v>
      </c>
      <c r="C9" s="402"/>
      <c r="D9" s="402"/>
      <c r="E9" s="402"/>
      <c r="F9" s="403"/>
    </row>
    <row r="10" spans="2:6" x14ac:dyDescent="0.2">
      <c r="B10" s="401" t="s">
        <v>275</v>
      </c>
      <c r="C10" s="402"/>
      <c r="D10" s="402"/>
      <c r="E10" s="402"/>
      <c r="F10" s="403"/>
    </row>
    <row r="11" spans="2:6" x14ac:dyDescent="0.2">
      <c r="B11" s="401" t="s">
        <v>167</v>
      </c>
      <c r="C11" s="402"/>
      <c r="D11" s="402"/>
      <c r="E11" s="402"/>
      <c r="F11" s="403"/>
    </row>
    <row r="12" spans="2:6" ht="15" thickBot="1" x14ac:dyDescent="0.25">
      <c r="B12" s="268"/>
      <c r="C12" s="41"/>
      <c r="D12" s="42"/>
      <c r="E12" s="42"/>
      <c r="F12" s="269"/>
    </row>
    <row r="13" spans="2:6" x14ac:dyDescent="0.2">
      <c r="B13" s="270"/>
      <c r="C13" s="112"/>
      <c r="D13" s="113"/>
      <c r="E13" s="113"/>
      <c r="F13" s="271"/>
    </row>
    <row r="14" spans="2:6" x14ac:dyDescent="0.2">
      <c r="B14" s="329" t="s">
        <v>196</v>
      </c>
      <c r="C14" s="76"/>
      <c r="D14" s="114"/>
      <c r="E14" s="115"/>
      <c r="F14" s="273"/>
    </row>
    <row r="15" spans="2:6" x14ac:dyDescent="0.2">
      <c r="B15" s="272"/>
      <c r="C15" s="76"/>
      <c r="D15" s="114"/>
      <c r="E15" s="115"/>
      <c r="F15" s="273"/>
    </row>
    <row r="16" spans="2:6" x14ac:dyDescent="0.2">
      <c r="B16" s="330" t="s">
        <v>199</v>
      </c>
      <c r="C16" s="76"/>
      <c r="D16" s="114"/>
      <c r="E16" s="115"/>
      <c r="F16" s="273"/>
    </row>
    <row r="17" spans="2:7" x14ac:dyDescent="0.2">
      <c r="B17" s="331" t="s">
        <v>0</v>
      </c>
      <c r="C17" s="76"/>
      <c r="D17" s="114"/>
      <c r="E17" s="314" t="str">
        <f>+RESULTADOS!D14</f>
        <v>Febrero</v>
      </c>
      <c r="F17" s="337" t="str">
        <f>+RESULTADOS!F14</f>
        <v>Acumulado</v>
      </c>
    </row>
    <row r="18" spans="2:7" x14ac:dyDescent="0.2">
      <c r="B18" s="274"/>
      <c r="C18" s="76"/>
      <c r="D18" s="114"/>
      <c r="E18" s="114"/>
      <c r="F18" s="273"/>
    </row>
    <row r="19" spans="2:7" ht="12.75" customHeight="1" x14ac:dyDescent="0.2">
      <c r="B19" s="275" t="s">
        <v>83</v>
      </c>
      <c r="C19" s="76"/>
      <c r="D19" s="114"/>
      <c r="E19" s="51">
        <f>+RESULTADOS!D42</f>
        <v>774736.41000001132</v>
      </c>
      <c r="F19" s="273">
        <f>+RESULTADOS!F42</f>
        <v>8193989.619999975</v>
      </c>
      <c r="G19" s="8"/>
    </row>
    <row r="20" spans="2:7" ht="12" customHeight="1" x14ac:dyDescent="0.2">
      <c r="B20" s="275"/>
      <c r="C20" s="76"/>
      <c r="D20" s="114"/>
      <c r="E20" s="51"/>
      <c r="F20" s="273"/>
      <c r="G20" s="8"/>
    </row>
    <row r="21" spans="2:7" ht="14.25" customHeight="1" x14ac:dyDescent="0.2">
      <c r="B21" s="253" t="s">
        <v>155</v>
      </c>
      <c r="C21" s="61"/>
      <c r="D21" s="115"/>
      <c r="E21" s="304">
        <v>9303.84</v>
      </c>
      <c r="F21" s="276">
        <f>-65836.71+E21</f>
        <v>-56532.87000000001</v>
      </c>
      <c r="G21" s="8"/>
    </row>
    <row r="22" spans="2:7" ht="14.25" customHeight="1" x14ac:dyDescent="0.2">
      <c r="B22" s="253" t="s">
        <v>109</v>
      </c>
      <c r="C22" s="61"/>
      <c r="D22" s="115"/>
      <c r="E22" s="317">
        <v>74474</v>
      </c>
      <c r="F22" s="276">
        <f>1495830.54+E22</f>
        <v>1570304.54</v>
      </c>
      <c r="G22" s="8"/>
    </row>
    <row r="23" spans="2:7" s="43" customFormat="1" x14ac:dyDescent="0.2">
      <c r="B23" s="253" t="s">
        <v>158</v>
      </c>
      <c r="C23" s="76"/>
      <c r="D23" s="114"/>
      <c r="E23" s="317">
        <v>1572005</v>
      </c>
      <c r="F23" s="276">
        <f>1567505.44+E23</f>
        <v>3139510.44</v>
      </c>
      <c r="G23" s="8"/>
    </row>
    <row r="24" spans="2:7" s="43" customFormat="1" ht="13.5" customHeight="1" x14ac:dyDescent="0.2">
      <c r="B24" s="253" t="s">
        <v>81</v>
      </c>
      <c r="C24" s="76"/>
      <c r="D24" s="114"/>
      <c r="E24" s="317">
        <v>235712.1</v>
      </c>
      <c r="F24" s="276">
        <f>148886.66+E24</f>
        <v>384598.76</v>
      </c>
      <c r="G24" s="8"/>
    </row>
    <row r="25" spans="2:7" s="43" customFormat="1" ht="13.5" customHeight="1" x14ac:dyDescent="0.2">
      <c r="B25" s="253" t="s">
        <v>123</v>
      </c>
      <c r="C25" s="76"/>
      <c r="D25" s="114"/>
      <c r="E25" s="317">
        <v>-2296876</v>
      </c>
      <c r="F25" s="276">
        <f>+E25</f>
        <v>-2296876</v>
      </c>
      <c r="G25" s="8"/>
    </row>
    <row r="26" spans="2:7" s="43" customFormat="1" x14ac:dyDescent="0.2">
      <c r="B26" s="253" t="s">
        <v>73</v>
      </c>
      <c r="C26" s="76"/>
      <c r="D26" s="114"/>
      <c r="E26" s="317">
        <v>1733643.82</v>
      </c>
      <c r="F26" s="276">
        <f>-495020.64+E26</f>
        <v>1238623.1800000002</v>
      </c>
      <c r="G26" s="8"/>
    </row>
    <row r="27" spans="2:7" s="43" customFormat="1" x14ac:dyDescent="0.2">
      <c r="B27" s="253" t="s">
        <v>108</v>
      </c>
      <c r="C27" s="76"/>
      <c r="D27" s="114"/>
      <c r="E27" s="317">
        <v>-197962.69999999998</v>
      </c>
      <c r="F27" s="276">
        <f>-2801584.09+E27</f>
        <v>-2999546.79</v>
      </c>
      <c r="G27" s="8"/>
    </row>
    <row r="28" spans="2:7" s="43" customFormat="1" x14ac:dyDescent="0.2">
      <c r="B28" s="253" t="s">
        <v>82</v>
      </c>
      <c r="C28" s="76"/>
      <c r="D28" s="114"/>
      <c r="E28" s="317">
        <f>18447083.45+130417.53</f>
        <v>18577500.98</v>
      </c>
      <c r="F28" s="276">
        <f>17477900.56+E28</f>
        <v>36055401.539999999</v>
      </c>
      <c r="G28" s="8"/>
    </row>
    <row r="29" spans="2:7" s="43" customFormat="1" hidden="1" x14ac:dyDescent="0.2">
      <c r="B29" s="253" t="s">
        <v>164</v>
      </c>
      <c r="C29" s="76"/>
      <c r="D29" s="114"/>
      <c r="E29" s="317"/>
      <c r="F29" s="276">
        <v>0</v>
      </c>
      <c r="G29" s="8"/>
    </row>
    <row r="30" spans="2:7" s="43" customFormat="1" x14ac:dyDescent="0.2">
      <c r="B30" s="253" t="s">
        <v>103</v>
      </c>
      <c r="C30" s="76"/>
      <c r="D30" s="114"/>
      <c r="E30" s="317">
        <v>4998298.95</v>
      </c>
      <c r="F30" s="276">
        <f>6768099.34+E30</f>
        <v>11766398.289999999</v>
      </c>
      <c r="G30" s="8"/>
    </row>
    <row r="31" spans="2:7" s="43" customFormat="1" x14ac:dyDescent="0.2">
      <c r="B31" s="253" t="s">
        <v>246</v>
      </c>
      <c r="C31" s="76"/>
      <c r="D31" s="114"/>
      <c r="E31" s="317">
        <v>67254370.920000002</v>
      </c>
      <c r="F31" s="276">
        <f>65318656.25+E31</f>
        <v>132573027.17</v>
      </c>
      <c r="G31" s="8"/>
    </row>
    <row r="32" spans="2:7" s="43" customFormat="1" ht="15" thickBot="1" x14ac:dyDescent="0.25">
      <c r="B32" s="334"/>
      <c r="C32" s="102"/>
      <c r="D32" s="335"/>
      <c r="E32" s="397"/>
      <c r="F32" s="336"/>
      <c r="G32" s="32"/>
    </row>
    <row r="33" spans="2:7" ht="16.5" customHeight="1" thickTop="1" thickBot="1" x14ac:dyDescent="0.25">
      <c r="B33" s="332" t="s">
        <v>197</v>
      </c>
      <c r="C33" s="116"/>
      <c r="D33" s="117" t="e">
        <f>+#REF!</f>
        <v>#REF!</v>
      </c>
      <c r="E33" s="333">
        <f>SUM(E19:E32)</f>
        <v>92735207.320000008</v>
      </c>
      <c r="F33" s="284">
        <f>SUM(F19:F32)</f>
        <v>189568897.87999997</v>
      </c>
      <c r="G33" s="8"/>
    </row>
    <row r="34" spans="2:7" ht="14.25" customHeight="1" x14ac:dyDescent="0.2">
      <c r="B34" s="280"/>
      <c r="C34" s="112"/>
      <c r="D34" s="113"/>
      <c r="E34" s="113"/>
      <c r="F34" s="271"/>
      <c r="G34" s="8"/>
    </row>
    <row r="35" spans="2:7" x14ac:dyDescent="0.2">
      <c r="B35" s="272" t="s">
        <v>216</v>
      </c>
      <c r="C35" s="76"/>
      <c r="D35" s="114"/>
      <c r="E35" s="115"/>
      <c r="F35" s="273"/>
      <c r="G35" s="8"/>
    </row>
    <row r="36" spans="2:7" x14ac:dyDescent="0.2">
      <c r="B36" s="281"/>
      <c r="C36" s="76"/>
      <c r="D36" s="114"/>
      <c r="E36" s="313"/>
      <c r="F36" s="282"/>
      <c r="G36" s="8"/>
    </row>
    <row r="37" spans="2:7" x14ac:dyDescent="0.2">
      <c r="B37" s="283" t="s">
        <v>200</v>
      </c>
      <c r="C37" s="76"/>
      <c r="D37" s="114"/>
      <c r="E37" s="305">
        <v>-6794771.2999999998</v>
      </c>
      <c r="F37" s="277">
        <v>-7324414.5899999999</v>
      </c>
      <c r="G37" s="8">
        <v>54483800.640000001</v>
      </c>
    </row>
    <row r="38" spans="2:7" ht="12.75" customHeight="1" x14ac:dyDescent="0.2">
      <c r="B38" s="283" t="s">
        <v>84</v>
      </c>
      <c r="C38" s="61"/>
      <c r="D38" s="115"/>
      <c r="E38" s="305">
        <v>167118.82999999999</v>
      </c>
      <c r="F38" s="277">
        <f>-1360017.6+E38</f>
        <v>-1192898.77</v>
      </c>
      <c r="G38" s="8"/>
    </row>
    <row r="39" spans="2:7" x14ac:dyDescent="0.2">
      <c r="B39" s="283" t="s">
        <v>85</v>
      </c>
      <c r="C39" s="61"/>
      <c r="D39" s="115"/>
      <c r="E39" s="305">
        <v>98246.01</v>
      </c>
      <c r="F39" s="277">
        <f>323550.43+E39</f>
        <v>421796.44</v>
      </c>
      <c r="G39" s="8"/>
    </row>
    <row r="40" spans="2:7" hidden="1" x14ac:dyDescent="0.2">
      <c r="B40" s="283" t="s">
        <v>86</v>
      </c>
      <c r="C40" s="61"/>
      <c r="D40" s="115"/>
      <c r="E40" s="305">
        <v>0</v>
      </c>
      <c r="F40" s="277">
        <v>0</v>
      </c>
      <c r="G40" s="8"/>
    </row>
    <row r="41" spans="2:7" ht="12.75" customHeight="1" x14ac:dyDescent="0.2">
      <c r="B41" s="283" t="s">
        <v>94</v>
      </c>
      <c r="C41" s="61"/>
      <c r="D41" s="115"/>
      <c r="E41" s="305">
        <v>244847.67</v>
      </c>
      <c r="F41" s="277">
        <f>279490.21+E41</f>
        <v>524337.88</v>
      </c>
      <c r="G41" s="8"/>
    </row>
    <row r="42" spans="2:7" ht="12.75" customHeight="1" x14ac:dyDescent="0.2">
      <c r="B42" s="283" t="s">
        <v>217</v>
      </c>
      <c r="C42" s="61"/>
      <c r="D42" s="115"/>
      <c r="E42" s="350">
        <v>21497.63</v>
      </c>
      <c r="F42" s="277">
        <f>21497.63+E42</f>
        <v>42995.26</v>
      </c>
      <c r="G42" s="8"/>
    </row>
    <row r="43" spans="2:7" ht="15" thickBot="1" x14ac:dyDescent="0.25">
      <c r="B43" s="278"/>
      <c r="C43" s="116"/>
      <c r="D43" s="117"/>
      <c r="E43" s="306"/>
      <c r="F43" s="284"/>
      <c r="G43" s="8"/>
    </row>
    <row r="44" spans="2:7" ht="15.75" customHeight="1" thickBot="1" x14ac:dyDescent="0.25">
      <c r="B44" s="285" t="s">
        <v>218</v>
      </c>
      <c r="C44" s="118"/>
      <c r="D44" s="119" t="e">
        <f>+#REF!</f>
        <v>#REF!</v>
      </c>
      <c r="E44" s="135">
        <f>SUM(E37:E43)</f>
        <v>-6263061.1600000001</v>
      </c>
      <c r="F44" s="279">
        <f>SUM(F37:F43)</f>
        <v>-7528183.7799999993</v>
      </c>
      <c r="G44" s="8"/>
    </row>
    <row r="45" spans="2:7" ht="15.75" customHeight="1" x14ac:dyDescent="0.2">
      <c r="B45" s="301"/>
      <c r="C45" s="112"/>
      <c r="D45" s="113"/>
      <c r="E45" s="302"/>
      <c r="F45" s="271"/>
      <c r="G45" s="8"/>
    </row>
    <row r="46" spans="2:7" hidden="1" x14ac:dyDescent="0.2">
      <c r="B46" s="281"/>
      <c r="C46" s="76"/>
      <c r="D46" s="114"/>
      <c r="E46" s="114"/>
      <c r="F46" s="273"/>
      <c r="G46" s="8"/>
    </row>
    <row r="47" spans="2:7" x14ac:dyDescent="0.2">
      <c r="B47" s="329" t="s">
        <v>8</v>
      </c>
      <c r="C47" s="76"/>
      <c r="D47" s="114"/>
      <c r="E47" s="114"/>
      <c r="F47" s="273"/>
      <c r="G47" s="8"/>
    </row>
    <row r="48" spans="2:7" x14ac:dyDescent="0.2">
      <c r="B48" s="281"/>
      <c r="C48" s="76"/>
      <c r="D48" s="114"/>
      <c r="E48" s="114"/>
      <c r="F48" s="273"/>
      <c r="G48" s="8"/>
    </row>
    <row r="49" spans="2:7" ht="12.75" hidden="1" customHeight="1" x14ac:dyDescent="0.2">
      <c r="B49" s="253" t="s">
        <v>95</v>
      </c>
      <c r="C49" s="76"/>
      <c r="D49" s="114"/>
      <c r="E49" s="54">
        <v>0</v>
      </c>
      <c r="F49" s="282">
        <v>0</v>
      </c>
      <c r="G49" s="8"/>
    </row>
    <row r="50" spans="2:7" ht="12.75" hidden="1" customHeight="1" x14ac:dyDescent="0.2">
      <c r="B50" s="253" t="s">
        <v>41</v>
      </c>
      <c r="C50" s="76"/>
      <c r="D50" s="114"/>
      <c r="E50" s="327">
        <v>0</v>
      </c>
      <c r="F50" s="282">
        <v>0</v>
      </c>
      <c r="G50" s="8"/>
    </row>
    <row r="51" spans="2:7" ht="12.75" hidden="1" customHeight="1" x14ac:dyDescent="0.2">
      <c r="B51" s="253" t="s">
        <v>104</v>
      </c>
      <c r="C51" s="76"/>
      <c r="D51" s="114"/>
      <c r="E51" s="73">
        <v>0</v>
      </c>
      <c r="F51" s="282">
        <v>0</v>
      </c>
      <c r="G51" s="8"/>
    </row>
    <row r="52" spans="2:7" hidden="1" x14ac:dyDescent="0.2">
      <c r="B52" s="253" t="s">
        <v>131</v>
      </c>
      <c r="C52" s="76"/>
      <c r="D52" s="114"/>
      <c r="E52" s="73">
        <v>0</v>
      </c>
      <c r="F52" s="282">
        <v>0</v>
      </c>
      <c r="G52" s="8"/>
    </row>
    <row r="53" spans="2:7" hidden="1" x14ac:dyDescent="0.2">
      <c r="B53" s="253" t="s">
        <v>124</v>
      </c>
      <c r="C53" s="76"/>
      <c r="D53" s="114"/>
      <c r="E53" s="73">
        <v>0</v>
      </c>
      <c r="F53" s="282">
        <v>0</v>
      </c>
      <c r="G53" s="8"/>
    </row>
    <row r="54" spans="2:7" x14ac:dyDescent="0.2">
      <c r="B54" s="253" t="s">
        <v>98</v>
      </c>
      <c r="C54" s="76"/>
      <c r="D54" s="114"/>
      <c r="E54" s="73">
        <v>0</v>
      </c>
      <c r="F54" s="282">
        <v>-2475412.69</v>
      </c>
      <c r="G54" s="8"/>
    </row>
    <row r="55" spans="2:7" ht="15" thickBot="1" x14ac:dyDescent="0.25">
      <c r="B55" s="278"/>
      <c r="C55" s="116"/>
      <c r="D55" s="117"/>
      <c r="E55" s="117"/>
      <c r="F55" s="284"/>
      <c r="G55" s="8"/>
    </row>
    <row r="56" spans="2:7" ht="15.75" customHeight="1" thickBot="1" x14ac:dyDescent="0.25">
      <c r="B56" s="328" t="s">
        <v>9</v>
      </c>
      <c r="C56" s="120"/>
      <c r="D56" s="121" t="e">
        <f>+#REF!</f>
        <v>#REF!</v>
      </c>
      <c r="E56" s="135">
        <f>SUM(E49:E55)</f>
        <v>0</v>
      </c>
      <c r="F56" s="279">
        <f>SUM(F49:F55)</f>
        <v>-2475412.69</v>
      </c>
      <c r="G56" s="8"/>
    </row>
    <row r="57" spans="2:7" x14ac:dyDescent="0.2">
      <c r="B57" s="280"/>
      <c r="C57" s="112"/>
      <c r="D57" s="113"/>
      <c r="E57" s="113"/>
      <c r="F57" s="271"/>
      <c r="G57" s="8"/>
    </row>
    <row r="58" spans="2:7" x14ac:dyDescent="0.2">
      <c r="B58" s="281"/>
      <c r="C58" s="76"/>
      <c r="D58" s="114"/>
      <c r="E58" s="114"/>
      <c r="F58" s="273"/>
      <c r="G58" s="8"/>
    </row>
    <row r="59" spans="2:7" x14ac:dyDescent="0.2">
      <c r="B59" s="283" t="s">
        <v>27</v>
      </c>
      <c r="C59" s="61"/>
      <c r="D59" s="115"/>
      <c r="E59" s="110">
        <f>+E44+E33+E56</f>
        <v>86472146.160000011</v>
      </c>
      <c r="F59" s="286">
        <f>86240383.85+E59</f>
        <v>172712530.00999999</v>
      </c>
    </row>
    <row r="60" spans="2:7" x14ac:dyDescent="0.2">
      <c r="B60" s="283" t="s">
        <v>96</v>
      </c>
      <c r="C60" s="61"/>
      <c r="D60" s="115"/>
      <c r="E60" s="54">
        <v>384740563.90999997</v>
      </c>
      <c r="F60" s="282">
        <v>298500180.06</v>
      </c>
    </row>
    <row r="61" spans="2:7" ht="15" thickBot="1" x14ac:dyDescent="0.25">
      <c r="B61" s="278"/>
      <c r="C61" s="116"/>
      <c r="D61" s="117"/>
      <c r="E61" s="117" t="s">
        <v>72</v>
      </c>
      <c r="F61" s="339"/>
    </row>
    <row r="62" spans="2:7" ht="18" customHeight="1" thickBot="1" x14ac:dyDescent="0.25">
      <c r="B62" s="294" t="s">
        <v>198</v>
      </c>
      <c r="C62" s="287"/>
      <c r="D62" s="288" t="e">
        <f>+#REF!+#REF!</f>
        <v>#REF!</v>
      </c>
      <c r="E62" s="289">
        <f>SUM(E59:E61)</f>
        <v>471212710.06999999</v>
      </c>
      <c r="F62" s="290">
        <f>SUM(F59:F61)</f>
        <v>471212710.06999999</v>
      </c>
    </row>
    <row r="63" spans="2:7" ht="15" thickTop="1" x14ac:dyDescent="0.2">
      <c r="B63" s="46"/>
      <c r="C63" s="60"/>
      <c r="D63" s="127"/>
      <c r="E63" s="127"/>
      <c r="F63" s="128"/>
    </row>
    <row r="64" spans="2:7" x14ac:dyDescent="0.2">
      <c r="B64" s="46"/>
      <c r="C64" s="60"/>
      <c r="D64" s="127"/>
      <c r="E64" s="127"/>
      <c r="F64" s="128"/>
    </row>
    <row r="65" spans="2:7" x14ac:dyDescent="0.2">
      <c r="B65" s="46"/>
      <c r="C65" s="60"/>
      <c r="D65" s="127"/>
      <c r="E65" s="127"/>
      <c r="F65" s="129"/>
    </row>
    <row r="66" spans="2:7" x14ac:dyDescent="0.2">
      <c r="B66" s="46"/>
      <c r="C66" s="60"/>
      <c r="D66" s="127"/>
      <c r="E66" s="127"/>
      <c r="F66" s="129"/>
    </row>
    <row r="67" spans="2:7" x14ac:dyDescent="0.2">
      <c r="B67" s="322" t="s">
        <v>253</v>
      </c>
      <c r="C67" s="60"/>
      <c r="D67" s="127"/>
      <c r="E67" s="414" t="s">
        <v>211</v>
      </c>
      <c r="F67" s="414"/>
      <c r="G67" s="19"/>
    </row>
    <row r="68" spans="2:7" x14ac:dyDescent="0.2">
      <c r="B68" s="130" t="s">
        <v>254</v>
      </c>
      <c r="C68" s="60"/>
      <c r="D68" s="127"/>
      <c r="E68" s="415" t="s">
        <v>6</v>
      </c>
      <c r="F68" s="415"/>
      <c r="G68" s="19"/>
    </row>
    <row r="69" spans="2:7" x14ac:dyDescent="0.2">
      <c r="C69" s="60"/>
      <c r="D69" s="127"/>
      <c r="E69" s="127"/>
    </row>
    <row r="70" spans="2:7" x14ac:dyDescent="0.2">
      <c r="B70" s="46"/>
      <c r="C70" s="60"/>
      <c r="D70" s="127"/>
      <c r="E70" s="127"/>
      <c r="F70" s="129"/>
    </row>
    <row r="71" spans="2:7" x14ac:dyDescent="0.2">
      <c r="B71" s="323" t="s">
        <v>252</v>
      </c>
      <c r="C71" s="60"/>
      <c r="D71" s="127"/>
      <c r="E71" s="127"/>
      <c r="F71" s="129"/>
    </row>
    <row r="72" spans="2:7" x14ac:dyDescent="0.2">
      <c r="B72" s="413" t="s">
        <v>213</v>
      </c>
      <c r="C72" s="413"/>
      <c r="D72" s="413"/>
      <c r="E72" s="413"/>
      <c r="F72" s="413"/>
    </row>
    <row r="76" spans="2:7" ht="13.5" customHeight="1" x14ac:dyDescent="0.2"/>
    <row r="77" spans="2:7" ht="14.25" customHeight="1" x14ac:dyDescent="0.2"/>
    <row r="78" spans="2:7" ht="13.9" customHeight="1" x14ac:dyDescent="0.2"/>
    <row r="81" spans="4:5" x14ac:dyDescent="0.2">
      <c r="D81" s="16"/>
      <c r="E81" s="16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2023-03-14T17:00:57Z</cp:lastPrinted>
  <dcterms:created xsi:type="dcterms:W3CDTF">2005-02-18T21:21:25Z</dcterms:created>
  <dcterms:modified xsi:type="dcterms:W3CDTF">2023-03-16T19:10:42Z</dcterms:modified>
</cp:coreProperties>
</file>