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502" activeTab="4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17" i="10" l="1"/>
  <c r="F34" i="11" l="1"/>
  <c r="F25" i="11" l="1"/>
  <c r="F42" i="11" s="1"/>
  <c r="F52" i="10"/>
  <c r="H138" i="23"/>
  <c r="H26" i="10"/>
  <c r="H29" i="10"/>
  <c r="H23" i="10"/>
  <c r="F61" i="31" l="1"/>
  <c r="F60" i="31"/>
  <c r="F43" i="31"/>
  <c r="F42" i="31"/>
  <c r="F41" i="31"/>
  <c r="F40" i="31"/>
  <c r="F39" i="31"/>
  <c r="F38" i="31"/>
  <c r="F32" i="31"/>
  <c r="F31" i="31"/>
  <c r="F29" i="31"/>
  <c r="F28" i="31"/>
  <c r="F27" i="31"/>
  <c r="F26" i="31"/>
  <c r="F25" i="31"/>
  <c r="F24" i="31"/>
  <c r="F21" i="31"/>
  <c r="H78" i="23" l="1"/>
  <c r="G80" i="23"/>
  <c r="G74" i="23"/>
  <c r="G73" i="23"/>
  <c r="G72" i="23" l="1"/>
  <c r="I72" i="23" s="1"/>
  <c r="I68" i="23"/>
  <c r="I69" i="23"/>
  <c r="I70" i="23"/>
  <c r="I71" i="23"/>
  <c r="I73" i="23"/>
  <c r="I74" i="23"/>
  <c r="I75" i="23"/>
  <c r="I77" i="23"/>
  <c r="I78" i="23"/>
  <c r="I79" i="23"/>
  <c r="I80" i="23"/>
  <c r="I67" i="23"/>
  <c r="H52" i="10" l="1"/>
  <c r="H28" i="23" l="1"/>
  <c r="E63" i="31" l="1"/>
  <c r="D25" i="11"/>
  <c r="H36" i="23" l="1"/>
  <c r="D34" i="11" l="1"/>
  <c r="H120" i="23"/>
  <c r="H44" i="10" l="1"/>
  <c r="H38" i="10"/>
  <c r="H46" i="10" l="1"/>
  <c r="E45" i="31" l="1"/>
  <c r="F45" i="31"/>
  <c r="F55" i="31" l="1"/>
  <c r="B10" i="11" l="1"/>
  <c r="C8" i="23" s="1"/>
  <c r="D63" i="31" l="1"/>
  <c r="F63" i="31"/>
  <c r="F57" i="31"/>
  <c r="E57" i="31"/>
  <c r="D57" i="31"/>
  <c r="D45" i="31"/>
  <c r="D34" i="31"/>
  <c r="F17" i="31"/>
  <c r="E17" i="31"/>
  <c r="F38" i="11"/>
  <c r="D38" i="11"/>
  <c r="F18" i="11"/>
  <c r="F17" i="11"/>
  <c r="I151" i="23"/>
  <c r="H147" i="23"/>
  <c r="F36" i="10" s="1"/>
  <c r="H131" i="23"/>
  <c r="F35" i="10"/>
  <c r="E105" i="23"/>
  <c r="E104" i="23"/>
  <c r="I100" i="23"/>
  <c r="H100" i="23"/>
  <c r="G100" i="23"/>
  <c r="F100" i="23"/>
  <c r="E100" i="23"/>
  <c r="H76" i="23"/>
  <c r="G81" i="23"/>
  <c r="H57" i="23"/>
  <c r="F19" i="10" s="1"/>
  <c r="H50" i="23"/>
  <c r="H42" i="23"/>
  <c r="H22" i="23"/>
  <c r="F14" i="10" s="1"/>
  <c r="C9" i="23"/>
  <c r="J54" i="10"/>
  <c r="H54" i="10"/>
  <c r="J47" i="10"/>
  <c r="F41" i="10"/>
  <c r="F44" i="10" s="1"/>
  <c r="J30" i="10"/>
  <c r="J31" i="10" s="1"/>
  <c r="H31" i="10"/>
  <c r="J22" i="10"/>
  <c r="E106" i="23" l="1"/>
  <c r="F23" i="10"/>
  <c r="H81" i="23"/>
  <c r="I76" i="23"/>
  <c r="F38" i="10"/>
  <c r="F46" i="10" s="1"/>
  <c r="F54" i="10" s="1"/>
  <c r="F27" i="10"/>
  <c r="H44" i="23"/>
  <c r="F15" i="10" s="1"/>
  <c r="F26" i="10"/>
  <c r="H30" i="23"/>
  <c r="I81" i="23"/>
  <c r="F40" i="11"/>
  <c r="D40" i="11"/>
  <c r="F29" i="10" l="1"/>
  <c r="F31" i="10" s="1"/>
  <c r="D42" i="11"/>
  <c r="F19" i="31"/>
  <c r="F34" i="31" s="1"/>
  <c r="H75" i="10" l="1"/>
  <c r="E19" i="31"/>
  <c r="E34" i="31" l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<sst xmlns="http://schemas.openxmlformats.org/spreadsheetml/2006/main" count="299" uniqueCount="281">
  <si>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</si>
  <si>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</si>
  <si>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</si>
  <si>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</si>
  <si>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</si>
  <si>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</si>
  <si>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</si>
  <si>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</si>
  <si>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</si>
  <si>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</si>
  <si>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</si>
  <si>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</si>
  <si>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</si>
  <si>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</si>
  <si>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</si>
  <si>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</si>
  <si>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</si>
  <si>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</si>
  <si>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</si>
  <si>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</si>
  <si>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</si>
  <si>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</si>
  <si>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</si>
  <si>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</si>
  <si>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</si>
  <si>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</si>
  <si>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</si>
  <si>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</si>
  <si>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</si>
  <si>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</si>
  <si>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</si>
  <si>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</si>
  <si>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</si>
  <si>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</si>
  <si>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</si>
  <si>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</si>
  <si>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</si>
  <si>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</si>
  <si>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</si>
  <si>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</si>
  <si>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</si>
  <si>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</si>
  <si>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</si>
  <si>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</si>
  <si>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</si>
  <si>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</si>
  <si>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</si>
  <si>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</si>
  <si>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</si>
  <si>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</si>
  <si>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</si>
  <si>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</si>
  <si>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</si>
  <si>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</si>
  <si>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</si>
  <si>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</si>
  <si>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</si>
  <si>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</si>
  <si>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</si>
  <si>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</si>
  <si>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</si>
  <si>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</si>
  <si>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</si>
  <si>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</si>
  <si>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</si>
  <si>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</si>
  <si>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</si>
  <si>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</si>
  <si>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</si>
  <si>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</si>
  <si>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</si>
  <si>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</si>
  <si>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</si>
  <si>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</si>
  <si>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</si>
  <si>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</si>
  <si>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</si>
  <si>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</si>
  <si>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</si>
  <si>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</si>
  <si>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</si>
  <si>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</si>
  <si>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</si>
  <si>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</si>
  <si>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</si>
  <si>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</si>
  <si>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</si>
  <si>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</si>
  <si>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</si>
  <si>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</si>
  <si>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</si>
  <si>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</si>
  <si>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</si>
  <si>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</si>
  <si>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</si>
  <si>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</si>
  <si>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</si>
  <si>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</si>
  <si>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</si>
  <si>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</si>
  <si>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</si>
  <si>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</si>
  <si>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</si>
  <si>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</si>
  <si>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</si>
  <si>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</si>
  <si>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</si>
  <si>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</si>
  <si>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</si>
  <si>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</si>
  <si>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</si>
  <si>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</si>
  <si>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</si>
  <si>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</si>
  <si>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</si>
  <si>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</si>
  <si>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</si>
  <si>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</si>
  <si>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</si>
  <si>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</si>
  <si>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</si>
  <si>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</si>
  <si>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</si>
  <si>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</si>
  <si>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</si>
  <si>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</si>
  <si>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</si>
  <si>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</si>
  <si>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</si>
  <si>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</si>
  <si>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</si>
  <si>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</si>
  <si>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</si>
  <si>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</si>
  <si>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</si>
  <si>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</si>
  <si>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</si>
  <si>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</si>
  <si>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</si>
  <si>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</si>
  <si>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</si>
  <si>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</si>
  <si>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</si>
  <si>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</si>
  <si>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</si>
  <si>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</si>
  <si>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</si>
  <si>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</si>
  <si>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</si>
  <si>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</si>
  <si>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</si>
  <si>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</si>
  <si>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</si>
  <si>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</si>
  <si>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</si>
  <si>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</si>
  <si>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</si>
  <si>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</si>
  <si>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</si>
  <si>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</si>
  <si>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</si>
  <si>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</si>
  <si>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</si>
  <si>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</si>
  <si>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</si>
  <si>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</si>
  <si>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</si>
  <si>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</si>
  <si>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</si>
  <si>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</si>
  <si>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</si>
  <si>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</si>
  <si>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</si>
  <si>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</si>
  <si>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</si>
  <si>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</si>
  <si>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</si>
  <si>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</si>
  <si>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</si>
  <si>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</si>
  <si>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</si>
  <si>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</si>
  <si>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</si>
  <si>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</si>
  <si>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</si>
  <si>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</si>
  <si>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</si>
  <si>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</si>
  <si>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</si>
  <si>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</si>
  <si>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</si>
  <si>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</si>
  <si>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</si>
  <si>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</si>
  <si>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</si>
  <si>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</si>
  <si>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</si>
  <si>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</si>
  <si>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</si>
  <si>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</si>
  <si>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</si>
  <si>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</si>
  <si>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</si>
  <si>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</si>
  <si>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</si>
  <si>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</si>
  <si>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</si>
  <si>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</si>
  <si>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</si>
  <si>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</si>
  <si>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</si>
  <si>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</si>
  <si>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</si>
  <si>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</si>
  <si>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</si>
  <si>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</si>
  <si>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</si>
  <si>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</si>
  <si>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</si>
  <si>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</si>
  <si>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</si>
  <si>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</si>
  <si>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</si>
  <si>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</si>
  <si>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</si>
  <si>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</si>
  <si>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</si>
  <si>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</si>
  <si>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</si>
  <si>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</si>
  <si>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</si>
  <si>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</si>
  <si>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</si>
  <si>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</si>
  <si>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</si>
  <si>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</si>
  <si>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</si>
  <si>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</si>
  <si>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</si>
  <si>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</si>
  <si>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</si>
  <si>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</si>
  <si>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</si>
  <si>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</si>
  <si>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</si>
  <si>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</si>
  <si>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</si>
  <si>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</si>
  <si>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</si>
  <si>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</si>
  <si>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</si>
  <si>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</si>
  <si>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</si>
  <si>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</si>
  <si>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</si>
  <si>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</si>
  <si>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</si>
  <si>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</si>
  <si>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</si>
  <si>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</si>
  <si>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</si>
  <si>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</si>
  <si>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</si>
  <si>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</si>
  <si>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</si>
  <si>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</si>
  <si>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</si>
  <si>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</si>
  <si>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</si>
  <si>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</si>
  <si>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</si>
  <si>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</si>
  <si>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Al 30 DE NOVIEMBRE 2022</t>
  </si>
  <si>
    <t>AL 30 NOVIEMBRE 2022</t>
  </si>
  <si>
    <t>DEL 01 DE ENERO AL 30 DE NOVIEMBRE 2022</t>
  </si>
  <si>
    <t>Noviembre</t>
  </si>
  <si>
    <t>Al 30 de noviembre 2022, ésta cuenta se desglosa como sigue:</t>
  </si>
  <si>
    <t>Las cuentas por pagar proveedores al 30 de noviembre del 2022 de la SISALRIL.</t>
  </si>
  <si>
    <t>La cuenta Obligaciones por pagar al 30 de noviembre 2022 de la SISALRIL, se desglosan de la siguiente manera:</t>
  </si>
  <si>
    <t>La cuenta Retenciones y Contribuciones por pagar al 30 de noviembre del 2022, se desglosan de la siguiente manera:</t>
  </si>
  <si>
    <t>Estos recursos están formados por dos partidas, las cuales una de ella representada por un valor ascendente por RD$641,407,626.00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</si>
</sst>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0" fontId="6" fillId="26" borderId="0" xfId="0" applyFont="1" applyFill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3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U102"/>
  <sheetViews>
    <sheetView zoomScaleNormal="100" zoomScaleSheetLayoutView="75" workbookViewId="0">
      <selection activeCell="A3" sqref="A3"/>
    </sheetView>
  </sheetViews>
  <sheetFormatPr baseColWidth="10" defaultRowHeight="14.25" x14ac:dyDescent="0.2"/>
  <cols>
    <col min="1" max="1" width="9.7109375" style="13" customWidth="1"/>
    <col min="2" max="2" width="3.285156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12.85546875" style="13" customWidth="1"/>
    <col min="10" max="10" width="5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9"/>
      <c r="D6" s="389"/>
      <c r="E6" s="389"/>
      <c r="F6" s="389"/>
      <c r="G6" s="389"/>
      <c r="H6" s="389"/>
      <c r="I6" s="389"/>
      <c r="J6" s="390"/>
      <c r="K6" s="27"/>
    </row>
    <row r="7" spans="2:21" x14ac:dyDescent="0.2">
      <c r="B7" s="28"/>
      <c r="C7" s="389" t="s">
        <v>13</v>
      </c>
      <c r="D7" s="389"/>
      <c r="E7" s="389"/>
      <c r="F7" s="389"/>
      <c r="G7" s="389"/>
      <c r="H7" s="389"/>
      <c r="I7" s="389"/>
      <c r="J7" s="390"/>
      <c r="K7" s="27"/>
    </row>
    <row r="8" spans="2:21" x14ac:dyDescent="0.2">
      <c r="B8" s="28"/>
      <c r="C8" s="389" t="s">
        <v>272</v>
      </c>
      <c r="D8" s="389"/>
      <c r="E8" s="389"/>
      <c r="F8" s="389"/>
      <c r="G8" s="389"/>
      <c r="H8" s="389"/>
      <c r="I8" s="389"/>
      <c r="J8" s="390"/>
      <c r="K8" s="27"/>
    </row>
    <row r="9" spans="2:21" x14ac:dyDescent="0.2">
      <c r="B9" s="28"/>
      <c r="C9" s="389"/>
      <c r="D9" s="389"/>
      <c r="E9" s="389"/>
      <c r="F9" s="389"/>
      <c r="G9" s="389"/>
      <c r="H9" s="389"/>
      <c r="I9" s="389"/>
      <c r="J9" s="390"/>
      <c r="K9" s="27"/>
    </row>
    <row r="10" spans="2:21" ht="15" thickBot="1" x14ac:dyDescent="0.25">
      <c r="B10" s="370"/>
      <c r="C10" s="371"/>
      <c r="D10" s="371"/>
      <c r="E10" s="371"/>
      <c r="F10" s="371"/>
      <c r="G10" s="371"/>
      <c r="H10" s="371"/>
      <c r="I10" s="371"/>
      <c r="J10" s="372"/>
      <c r="K10" s="27"/>
    </row>
    <row r="11" spans="2:21" x14ac:dyDescent="0.2">
      <c r="B11" s="72"/>
      <c r="C11" s="78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116</v>
      </c>
      <c r="D13" s="188" t="s">
        <v>233</v>
      </c>
      <c r="E13" s="188"/>
      <c r="F13" s="188"/>
      <c r="G13" s="189"/>
      <c r="H13" s="189"/>
      <c r="I13" s="189"/>
      <c r="J13" s="77"/>
      <c r="K13" s="27"/>
      <c r="M13" s="391"/>
      <c r="N13" s="391"/>
      <c r="O13" s="391"/>
      <c r="P13" s="391"/>
      <c r="Q13" s="391"/>
      <c r="R13" s="391"/>
      <c r="S13" s="391"/>
      <c r="T13" s="391"/>
      <c r="U13" s="391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384" t="s">
        <v>226</v>
      </c>
      <c r="E15" s="384"/>
      <c r="F15" s="384"/>
      <c r="G15" s="384"/>
      <c r="H15" s="384"/>
      <c r="I15" s="384"/>
      <c r="J15" s="77"/>
      <c r="K15" s="27"/>
    </row>
    <row r="16" spans="2:21" ht="15" x14ac:dyDescent="0.2">
      <c r="B16" s="72"/>
      <c r="C16" s="190"/>
      <c r="D16" s="384" t="s">
        <v>258</v>
      </c>
      <c r="E16" s="384"/>
      <c r="F16" s="384"/>
      <c r="G16" s="384"/>
      <c r="H16" s="384"/>
      <c r="I16" s="384"/>
      <c r="J16" s="77"/>
      <c r="K16" s="27"/>
    </row>
    <row r="17" spans="2:12" ht="15" x14ac:dyDescent="0.2">
      <c r="B17" s="72"/>
      <c r="C17" s="190"/>
      <c r="D17" s="384" t="s">
        <v>227</v>
      </c>
      <c r="E17" s="384"/>
      <c r="F17" s="384"/>
      <c r="G17" s="384"/>
      <c r="H17" s="384"/>
      <c r="I17" s="384"/>
      <c r="J17" s="77"/>
      <c r="K17" s="27"/>
    </row>
    <row r="18" spans="2:12" ht="15" x14ac:dyDescent="0.2">
      <c r="B18" s="72"/>
      <c r="C18" s="190"/>
      <c r="D18" s="384" t="s">
        <v>228</v>
      </c>
      <c r="E18" s="384"/>
      <c r="F18" s="384"/>
      <c r="G18" s="384"/>
      <c r="H18" s="186"/>
      <c r="I18" s="384"/>
      <c r="J18" s="77"/>
      <c r="K18" s="27"/>
    </row>
    <row r="19" spans="2:12" ht="15" x14ac:dyDescent="0.2">
      <c r="B19" s="72"/>
      <c r="C19" s="190"/>
      <c r="D19" s="384"/>
      <c r="E19" s="384"/>
      <c r="F19" s="384"/>
      <c r="G19" s="384"/>
      <c r="H19" s="186"/>
      <c r="I19" s="384"/>
      <c r="J19" s="77"/>
      <c r="K19" s="27"/>
    </row>
    <row r="20" spans="2:12" ht="15" x14ac:dyDescent="0.2">
      <c r="B20" s="72"/>
      <c r="C20" s="191"/>
      <c r="D20" s="384" t="s">
        <v>231</v>
      </c>
      <c r="E20" s="385"/>
      <c r="F20" s="384"/>
      <c r="G20" s="384"/>
      <c r="H20" s="386"/>
      <c r="I20" s="384"/>
      <c r="J20" s="77"/>
      <c r="K20" s="27"/>
      <c r="L20" s="35"/>
    </row>
    <row r="21" spans="2:12" ht="15" x14ac:dyDescent="0.2">
      <c r="B21" s="72"/>
      <c r="C21" s="191"/>
      <c r="D21" s="384" t="s">
        <v>259</v>
      </c>
      <c r="E21" s="385"/>
      <c r="F21" s="384"/>
      <c r="G21" s="386"/>
      <c r="H21" s="386"/>
      <c r="I21" s="384"/>
      <c r="J21" s="77"/>
      <c r="K21" s="27"/>
      <c r="L21" s="35"/>
    </row>
    <row r="22" spans="2:12" ht="15" x14ac:dyDescent="0.2">
      <c r="B22" s="72"/>
      <c r="C22" s="191"/>
      <c r="D22" s="384" t="s">
        <v>232</v>
      </c>
      <c r="E22" s="384"/>
      <c r="F22" s="384"/>
      <c r="G22" s="386"/>
      <c r="H22" s="386"/>
      <c r="I22" s="384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49</v>
      </c>
      <c r="D25" s="188" t="s">
        <v>220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234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50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244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48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51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235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52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221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245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</row>
    <row r="45" spans="2:14" ht="15" x14ac:dyDescent="0.2">
      <c r="B45" s="72"/>
      <c r="C45" s="191"/>
      <c r="D45" s="189" t="s">
        <v>223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236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</row>
    <row r="48" spans="2:14" ht="15" x14ac:dyDescent="0.2">
      <c r="B48" s="72"/>
      <c r="C48" s="191"/>
      <c r="D48" s="387" t="s">
        <v>224</v>
      </c>
      <c r="E48" s="387"/>
      <c r="F48" s="387"/>
      <c r="G48" s="386"/>
      <c r="H48" s="386"/>
      <c r="I48" s="387"/>
      <c r="J48" s="77"/>
      <c r="K48" s="27"/>
    </row>
    <row r="49" spans="2:13" ht="15" x14ac:dyDescent="0.2">
      <c r="B49" s="72"/>
      <c r="C49" s="191"/>
      <c r="D49" s="384" t="s">
        <v>225</v>
      </c>
      <c r="E49" s="385"/>
      <c r="F49" s="387"/>
      <c r="G49" s="386"/>
      <c r="H49" s="386"/>
      <c r="I49" s="386"/>
      <c r="J49" s="77"/>
      <c r="K49" s="27"/>
    </row>
    <row r="50" spans="2:13" ht="15" x14ac:dyDescent="0.2">
      <c r="B50" s="72"/>
      <c r="C50" s="191"/>
      <c r="D50" s="387" t="s">
        <v>260</v>
      </c>
      <c r="E50" s="387"/>
      <c r="F50" s="387"/>
      <c r="G50" s="386"/>
      <c r="H50" s="386"/>
      <c r="I50" s="386"/>
      <c r="J50" s="77"/>
      <c r="K50" s="27"/>
      <c r="L50" s="7"/>
    </row>
    <row r="51" spans="2:13" ht="15" x14ac:dyDescent="0.2">
      <c r="B51" s="72"/>
      <c r="C51" s="191"/>
      <c r="D51" s="384" t="s">
        <v>53</v>
      </c>
      <c r="E51" s="387"/>
      <c r="F51" s="387"/>
      <c r="G51" s="386"/>
      <c r="H51" s="386"/>
      <c r="I51" s="387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54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229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230</v>
      </c>
      <c r="E57" s="187"/>
      <c r="F57" s="189"/>
      <c r="G57" s="193"/>
      <c r="H57" s="199"/>
      <c r="I57" s="194"/>
      <c r="J57" s="77"/>
      <c r="K57" s="27"/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222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243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262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261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271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269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270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55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263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/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264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265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266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267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268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P165"/>
  <sheetViews>
    <sheetView zoomScale="120" zoomScaleNormal="120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16.7109375" style="2" customWidth="1"/>
    <col min="14" max="16" width="11.42578125" style="2" customWidth="1"/>
    <col min="17" max="16384" width="11.42578125" style="1"/>
  </cols>
  <sheetData>
    <row r="2" spans="3:11" ht="15.75" thickBot="1" x14ac:dyDescent="0.25"/>
    <row r="3" spans="3:11" ht="15.75" thickTop="1" x14ac:dyDescent="0.2">
      <c r="C3" s="259"/>
      <c r="D3" s="260"/>
      <c r="E3" s="260"/>
      <c r="F3" s="260"/>
      <c r="G3" s="260"/>
      <c r="H3" s="260"/>
      <c r="I3" s="260"/>
      <c r="J3" s="260"/>
      <c r="K3" s="261"/>
    </row>
    <row r="4" spans="3:11" x14ac:dyDescent="0.2">
      <c r="C4" s="262"/>
      <c r="D4" s="398"/>
      <c r="E4" s="398"/>
      <c r="F4" s="398"/>
      <c r="G4" s="398"/>
      <c r="H4" s="398"/>
      <c r="I4" s="398"/>
      <c r="J4" s="398"/>
      <c r="K4" s="263"/>
    </row>
    <row r="5" spans="3:11" x14ac:dyDescent="0.2">
      <c r="C5" s="262"/>
      <c r="D5" s="398"/>
      <c r="E5" s="398"/>
      <c r="F5" s="398"/>
      <c r="G5" s="398"/>
      <c r="H5" s="398"/>
      <c r="I5" s="398"/>
      <c r="J5" s="398"/>
      <c r="K5" s="263"/>
    </row>
    <row r="6" spans="3:11" x14ac:dyDescent="0.2">
      <c r="C6" s="392" t="s">
        <v>191</v>
      </c>
      <c r="D6" s="393"/>
      <c r="E6" s="393"/>
      <c r="F6" s="393"/>
      <c r="G6" s="393"/>
      <c r="H6" s="393"/>
      <c r="I6" s="393"/>
      <c r="J6" s="393"/>
      <c r="K6" s="394"/>
    </row>
    <row r="7" spans="3:11" x14ac:dyDescent="0.2">
      <c r="C7" s="392" t="s">
        <v>273</v>
      </c>
      <c r="D7" s="393"/>
      <c r="E7" s="393"/>
      <c r="F7" s="393"/>
      <c r="G7" s="393"/>
      <c r="H7" s="393"/>
      <c r="I7" s="393"/>
      <c r="J7" s="393"/>
      <c r="K7" s="394"/>
    </row>
    <row r="8" spans="3:11" x14ac:dyDescent="0.2">
      <c r="C8" s="392" t="s">
        <v>168</v>
      </c>
      <c r="D8" s="393"/>
      <c r="E8" s="393"/>
      <c r="F8" s="393"/>
      <c r="G8" s="393"/>
      <c r="H8" s="393"/>
      <c r="I8" s="393"/>
      <c r="J8" s="393"/>
      <c r="K8" s="394"/>
    </row>
    <row r="9" spans="3:11" ht="15.75" thickBot="1" x14ac:dyDescent="0.25">
      <c r="C9" s="395"/>
      <c r="D9" s="396"/>
      <c r="E9" s="396"/>
      <c r="F9" s="396"/>
      <c r="G9" s="396"/>
      <c r="H9" s="396"/>
      <c r="I9" s="396"/>
      <c r="J9" s="396"/>
      <c r="K9" s="397"/>
    </row>
    <row r="10" spans="3:11" ht="6" customHeight="1" x14ac:dyDescent="0.2">
      <c r="C10" s="264"/>
      <c r="D10" s="220"/>
      <c r="E10" s="220"/>
      <c r="F10" s="220"/>
      <c r="G10" s="220"/>
      <c r="H10" s="220"/>
      <c r="I10" s="220"/>
      <c r="J10" s="220"/>
      <c r="K10" s="265"/>
    </row>
    <row r="11" spans="3:11" ht="18.600000000000001" customHeight="1" x14ac:dyDescent="0.2">
      <c r="C11" s="264"/>
      <c r="D11" s="51" t="s">
        <v>172</v>
      </c>
      <c r="E11" s="221"/>
      <c r="F11" s="315">
        <v>2022</v>
      </c>
      <c r="G11" s="222"/>
      <c r="H11" s="315">
        <v>2021</v>
      </c>
      <c r="I11" s="218"/>
      <c r="J11" s="222" t="s">
        <v>61</v>
      </c>
      <c r="K11" s="266"/>
    </row>
    <row r="12" spans="3:11" ht="3.6" customHeight="1" x14ac:dyDescent="0.2">
      <c r="C12" s="264"/>
      <c r="D12" s="221"/>
      <c r="E12" s="221"/>
      <c r="F12" s="218"/>
      <c r="G12" s="222"/>
      <c r="H12" s="222"/>
      <c r="I12" s="218"/>
      <c r="J12" s="222"/>
      <c r="K12" s="266"/>
    </row>
    <row r="13" spans="3:11" ht="15.6" customHeight="1" x14ac:dyDescent="0.2">
      <c r="C13" s="264"/>
      <c r="D13" s="59" t="s">
        <v>22</v>
      </c>
      <c r="E13" s="218"/>
      <c r="F13" s="218"/>
      <c r="G13" s="218"/>
      <c r="H13" s="223"/>
      <c r="I13" s="218"/>
      <c r="J13" s="218"/>
      <c r="K13" s="266"/>
    </row>
    <row r="14" spans="3:11" x14ac:dyDescent="0.2">
      <c r="C14" s="264"/>
      <c r="D14" s="218" t="s">
        <v>23</v>
      </c>
      <c r="E14" s="218"/>
      <c r="F14" s="333">
        <f>+'NOTAS   '!H22+'NOTAS   '!H28</f>
        <v>52865085.93</v>
      </c>
      <c r="G14" s="218"/>
      <c r="H14" s="333">
        <v>31157857.120000001</v>
      </c>
      <c r="I14" s="218"/>
      <c r="J14" s="225">
        <v>1462536.8</v>
      </c>
      <c r="K14" s="266"/>
    </row>
    <row r="15" spans="3:11" x14ac:dyDescent="0.2">
      <c r="C15" s="264"/>
      <c r="D15" s="218" t="s">
        <v>248</v>
      </c>
      <c r="E15" s="218"/>
      <c r="F15" s="333">
        <f>+'NOTAS   '!H44</f>
        <v>641407626.13000011</v>
      </c>
      <c r="G15" s="218"/>
      <c r="H15" s="333">
        <v>345944616.73000002</v>
      </c>
      <c r="I15" s="218"/>
      <c r="J15" s="225"/>
      <c r="K15" s="266"/>
    </row>
    <row r="16" spans="3:11" x14ac:dyDescent="0.2">
      <c r="C16" s="264"/>
      <c r="D16" s="218" t="s">
        <v>24</v>
      </c>
      <c r="E16" s="218"/>
      <c r="F16" s="333">
        <v>2797749</v>
      </c>
      <c r="G16" s="218"/>
      <c r="H16" s="333">
        <v>2797749</v>
      </c>
      <c r="I16" s="218"/>
      <c r="J16" s="225"/>
      <c r="K16" s="266"/>
    </row>
    <row r="17" spans="3:11" x14ac:dyDescent="0.2">
      <c r="C17" s="264"/>
      <c r="D17" s="218" t="s">
        <v>47</v>
      </c>
      <c r="E17" s="218"/>
      <c r="F17" s="333">
        <f>137785.62+17.19</f>
        <v>137802.81</v>
      </c>
      <c r="G17" s="218"/>
      <c r="H17" s="333">
        <v>730111.73</v>
      </c>
      <c r="I17" s="218"/>
      <c r="J17" s="225"/>
      <c r="K17" s="266"/>
    </row>
    <row r="18" spans="3:11" x14ac:dyDescent="0.2">
      <c r="C18" s="264"/>
      <c r="D18" s="218" t="s">
        <v>181</v>
      </c>
      <c r="E18" s="218"/>
      <c r="F18" s="333">
        <v>3832379.8</v>
      </c>
      <c r="G18" s="227"/>
      <c r="H18" s="333">
        <v>2664525.23</v>
      </c>
      <c r="I18" s="218"/>
      <c r="J18" s="227"/>
      <c r="K18" s="266"/>
    </row>
    <row r="19" spans="3:11" x14ac:dyDescent="0.2">
      <c r="C19" s="264"/>
      <c r="D19" s="218" t="s">
        <v>25</v>
      </c>
      <c r="E19" s="218"/>
      <c r="F19" s="333">
        <f>+'NOTAS   '!H57</f>
        <v>3411407.66</v>
      </c>
      <c r="G19" s="227"/>
      <c r="H19" s="333">
        <v>1066764</v>
      </c>
      <c r="I19" s="218"/>
      <c r="J19" s="227"/>
      <c r="K19" s="266"/>
    </row>
    <row r="20" spans="3:11" x14ac:dyDescent="0.2">
      <c r="C20" s="264"/>
      <c r="D20" s="218" t="s">
        <v>63</v>
      </c>
      <c r="E20" s="218"/>
      <c r="F20" s="333">
        <v>245016093.66</v>
      </c>
      <c r="G20" s="227"/>
      <c r="H20" s="333">
        <v>260416818.38999999</v>
      </c>
      <c r="I20" s="218"/>
      <c r="J20" s="227"/>
      <c r="K20" s="266"/>
    </row>
    <row r="21" spans="3:11" x14ac:dyDescent="0.2">
      <c r="C21" s="264"/>
      <c r="D21" s="218" t="s">
        <v>26</v>
      </c>
      <c r="E21" s="218"/>
      <c r="F21" s="333">
        <v>690242775</v>
      </c>
      <c r="G21" s="227"/>
      <c r="H21" s="333">
        <v>162793592.38999999</v>
      </c>
      <c r="I21" s="218"/>
      <c r="J21" s="227"/>
      <c r="K21" s="266"/>
    </row>
    <row r="22" spans="3:11" x14ac:dyDescent="0.2">
      <c r="C22" s="264"/>
      <c r="D22" s="218" t="s">
        <v>64</v>
      </c>
      <c r="E22" s="218"/>
      <c r="F22" s="334">
        <v>116700000</v>
      </c>
      <c r="G22" s="218"/>
      <c r="H22" s="334">
        <v>116700000</v>
      </c>
      <c r="I22" s="218"/>
      <c r="J22" s="225">
        <f>SUM(J19:J20)</f>
        <v>0</v>
      </c>
      <c r="K22" s="266"/>
    </row>
    <row r="23" spans="3:11" x14ac:dyDescent="0.2">
      <c r="C23" s="264"/>
      <c r="D23" s="185" t="s">
        <v>205</v>
      </c>
      <c r="E23" s="218"/>
      <c r="F23" s="55">
        <f>SUM(F14:F22)+1</f>
        <v>1756410920.9899998</v>
      </c>
      <c r="G23" s="218"/>
      <c r="H23" s="258">
        <f>SUM(H14:H22)-1</f>
        <v>924272033.59000003</v>
      </c>
      <c r="I23" s="218"/>
      <c r="J23" s="218"/>
      <c r="K23" s="266"/>
    </row>
    <row r="24" spans="3:11" x14ac:dyDescent="0.2">
      <c r="C24" s="264"/>
      <c r="D24" s="314"/>
      <c r="E24" s="218"/>
      <c r="F24" s="223"/>
      <c r="G24" s="218"/>
      <c r="H24" s="224"/>
      <c r="I24" s="218"/>
      <c r="J24" s="218"/>
      <c r="K24" s="266"/>
    </row>
    <row r="25" spans="3:11" x14ac:dyDescent="0.2">
      <c r="C25" s="264"/>
      <c r="D25" s="51" t="s">
        <v>30</v>
      </c>
      <c r="E25" s="218"/>
      <c r="F25" s="218"/>
      <c r="G25" s="228"/>
      <c r="H25" s="229"/>
      <c r="I25" s="218"/>
      <c r="J25" s="227">
        <v>399912.37</v>
      </c>
      <c r="K25" s="266"/>
    </row>
    <row r="26" spans="3:11" x14ac:dyDescent="0.2">
      <c r="C26" s="264"/>
      <c r="D26" s="218" t="s">
        <v>27</v>
      </c>
      <c r="E26" s="226"/>
      <c r="F26" s="219">
        <f>+'NOTAS   '!G81</f>
        <v>498779019.58999991</v>
      </c>
      <c r="G26" s="218"/>
      <c r="H26" s="219">
        <f>486157116.5+1</f>
        <v>486157117.5</v>
      </c>
      <c r="I26" s="218"/>
      <c r="J26" s="227"/>
      <c r="K26" s="266"/>
    </row>
    <row r="27" spans="3:11" ht="14.45" customHeight="1" x14ac:dyDescent="0.2">
      <c r="C27" s="264"/>
      <c r="D27" s="218" t="s">
        <v>187</v>
      </c>
      <c r="E27" s="218"/>
      <c r="F27" s="234">
        <f>-'NOTAS   '!H81</f>
        <v>-167499907.40999997</v>
      </c>
      <c r="G27" s="218"/>
      <c r="H27" s="234">
        <v>-156981301.49000001</v>
      </c>
      <c r="I27" s="218"/>
      <c r="J27" s="227"/>
      <c r="K27" s="266"/>
    </row>
    <row r="28" spans="3:11" ht="13.9" customHeight="1" x14ac:dyDescent="0.2">
      <c r="C28" s="264"/>
      <c r="D28" s="218" t="s">
        <v>184</v>
      </c>
      <c r="E28" s="218"/>
      <c r="F28" s="232">
        <v>607392</v>
      </c>
      <c r="G28" s="218"/>
      <c r="H28" s="325">
        <v>607392.04</v>
      </c>
      <c r="I28" s="218"/>
      <c r="J28" s="227"/>
      <c r="K28" s="266"/>
    </row>
    <row r="29" spans="3:11" ht="17.25" customHeight="1" x14ac:dyDescent="0.2">
      <c r="C29" s="264"/>
      <c r="D29" s="185" t="s">
        <v>206</v>
      </c>
      <c r="E29" s="230"/>
      <c r="F29" s="216">
        <f>SUM(F26:F28)</f>
        <v>331886504.17999995</v>
      </c>
      <c r="G29" s="218"/>
      <c r="H29" s="258">
        <f>SUM(H26:H28)</f>
        <v>329783208.05000001</v>
      </c>
      <c r="I29" s="218"/>
      <c r="J29" s="227"/>
      <c r="K29" s="266"/>
    </row>
    <row r="30" spans="3:11" ht="17.25" customHeight="1" x14ac:dyDescent="0.2">
      <c r="C30" s="264"/>
      <c r="D30" s="218"/>
      <c r="E30" s="218"/>
      <c r="F30" s="218"/>
      <c r="G30" s="218"/>
      <c r="H30" s="224"/>
      <c r="I30" s="218"/>
      <c r="J30" s="225">
        <f>SUM(J25:J25)</f>
        <v>399912.37</v>
      </c>
      <c r="K30" s="266"/>
    </row>
    <row r="31" spans="3:11" ht="16.149999999999999" customHeight="1" thickBot="1" x14ac:dyDescent="0.25">
      <c r="C31" s="264"/>
      <c r="D31" s="185" t="s">
        <v>38</v>
      </c>
      <c r="E31" s="218"/>
      <c r="F31" s="175">
        <f>+F29+F23</f>
        <v>2088297425.1699996</v>
      </c>
      <c r="G31" s="313"/>
      <c r="H31" s="175">
        <f>+H23+H29</f>
        <v>1254055241.6400001</v>
      </c>
      <c r="I31" s="218"/>
      <c r="J31" s="233">
        <f>+J14+J22+J30</f>
        <v>1862449.17</v>
      </c>
      <c r="K31" s="266"/>
    </row>
    <row r="32" spans="3:11" ht="10.9" customHeight="1" thickTop="1" x14ac:dyDescent="0.2">
      <c r="C32" s="264"/>
      <c r="D32" s="218"/>
      <c r="E32" s="218"/>
      <c r="F32" s="218"/>
      <c r="G32" s="218"/>
      <c r="H32" s="225"/>
      <c r="I32" s="218"/>
      <c r="J32" s="218"/>
      <c r="K32" s="266"/>
    </row>
    <row r="33" spans="3:12" ht="16.899999999999999" customHeight="1" x14ac:dyDescent="0.2">
      <c r="C33" s="264"/>
      <c r="D33" s="51" t="s">
        <v>29</v>
      </c>
      <c r="E33" s="218"/>
      <c r="F33" s="322"/>
      <c r="G33" s="227"/>
      <c r="H33" s="223"/>
      <c r="I33" s="218"/>
      <c r="J33" s="232">
        <v>-9259239.8100000005</v>
      </c>
      <c r="K33" s="266"/>
    </row>
    <row r="34" spans="3:12" ht="17.45" customHeight="1" x14ac:dyDescent="0.2">
      <c r="C34" s="264"/>
      <c r="D34" s="226" t="s">
        <v>35</v>
      </c>
      <c r="E34" s="218"/>
      <c r="F34" s="225"/>
      <c r="G34" s="218"/>
      <c r="H34" s="218"/>
      <c r="I34" s="218"/>
      <c r="J34" s="227"/>
      <c r="K34" s="266"/>
    </row>
    <row r="35" spans="3:12" ht="12.6" customHeight="1" x14ac:dyDescent="0.2">
      <c r="C35" s="267"/>
      <c r="D35" s="218" t="s">
        <v>33</v>
      </c>
      <c r="E35" s="226"/>
      <c r="F35" s="235">
        <f>+'NOTAS   '!H120</f>
        <v>13320607.190000001</v>
      </c>
      <c r="G35" s="218"/>
      <c r="H35" s="235">
        <v>17644060.25</v>
      </c>
      <c r="I35" s="218"/>
      <c r="J35" s="218"/>
      <c r="K35" s="266"/>
    </row>
    <row r="36" spans="3:12" ht="13.9" customHeight="1" x14ac:dyDescent="0.2">
      <c r="C36" s="267"/>
      <c r="D36" s="218" t="s">
        <v>32</v>
      </c>
      <c r="E36" s="226"/>
      <c r="F36" s="235">
        <f>+'NOTAS   '!H147</f>
        <v>51875085.439999998</v>
      </c>
      <c r="G36" s="222"/>
      <c r="H36" s="235">
        <v>42253309</v>
      </c>
      <c r="I36" s="218"/>
      <c r="J36" s="222" t="s">
        <v>61</v>
      </c>
      <c r="K36" s="266"/>
    </row>
    <row r="37" spans="3:12" ht="12.6" customHeight="1" x14ac:dyDescent="0.2">
      <c r="C37" s="267"/>
      <c r="D37" s="218" t="s">
        <v>123</v>
      </c>
      <c r="E37" s="226"/>
      <c r="F37" s="373">
        <v>64577.36</v>
      </c>
      <c r="G37" s="222"/>
      <c r="H37" s="236">
        <v>38955</v>
      </c>
      <c r="I37" s="218"/>
      <c r="J37" s="222"/>
      <c r="K37" s="266"/>
    </row>
    <row r="38" spans="3:12" ht="15" customHeight="1" x14ac:dyDescent="0.2">
      <c r="C38" s="267"/>
      <c r="D38" s="185" t="s">
        <v>203</v>
      </c>
      <c r="E38" s="218"/>
      <c r="F38" s="55">
        <f>SUM(F35:F37)-1</f>
        <v>65260268.989999995</v>
      </c>
      <c r="G38" s="227"/>
      <c r="H38" s="138">
        <f>SUM(H35:H37)</f>
        <v>59936324.25</v>
      </c>
      <c r="I38" s="218"/>
      <c r="J38" s="227"/>
      <c r="K38" s="266"/>
      <c r="L38" s="140"/>
    </row>
    <row r="39" spans="3:12" ht="12" customHeight="1" x14ac:dyDescent="0.2">
      <c r="C39" s="267"/>
      <c r="D39" s="218"/>
      <c r="E39" s="218"/>
      <c r="F39" s="218"/>
      <c r="G39" s="227"/>
      <c r="H39" s="227"/>
      <c r="I39" s="218"/>
      <c r="J39" s="227"/>
      <c r="K39" s="266"/>
      <c r="L39" s="140"/>
    </row>
    <row r="40" spans="3:12" x14ac:dyDescent="0.2">
      <c r="C40" s="267"/>
      <c r="D40" s="51" t="s">
        <v>34</v>
      </c>
      <c r="E40" s="218"/>
      <c r="F40" s="218"/>
      <c r="G40" s="227"/>
      <c r="H40" s="227"/>
      <c r="I40" s="218"/>
      <c r="J40" s="227"/>
      <c r="K40" s="266"/>
      <c r="L40" s="140"/>
    </row>
    <row r="41" spans="3:12" x14ac:dyDescent="0.2">
      <c r="C41" s="267"/>
      <c r="D41" s="218" t="s">
        <v>31</v>
      </c>
      <c r="E41" s="226"/>
      <c r="F41" s="235">
        <f>+'NOTAS   '!H127</f>
        <v>1315220669.8299999</v>
      </c>
      <c r="G41" s="227"/>
      <c r="H41" s="227">
        <v>502309969.83999997</v>
      </c>
      <c r="I41" s="218"/>
      <c r="J41" s="227"/>
      <c r="K41" s="266"/>
      <c r="L41" s="140"/>
    </row>
    <row r="42" spans="3:12" ht="12.6" customHeight="1" x14ac:dyDescent="0.2">
      <c r="C42" s="267"/>
      <c r="D42" s="218" t="s">
        <v>157</v>
      </c>
      <c r="E42" s="226"/>
      <c r="F42" s="235">
        <v>16180016.66</v>
      </c>
      <c r="G42" s="227"/>
      <c r="H42" s="227">
        <v>6515631.8300000001</v>
      </c>
      <c r="I42" s="218"/>
      <c r="J42" s="227"/>
      <c r="K42" s="266"/>
      <c r="L42" s="140"/>
    </row>
    <row r="43" spans="3:12" ht="13.5" customHeight="1" x14ac:dyDescent="0.2">
      <c r="C43" s="267"/>
      <c r="D43" s="218" t="s">
        <v>158</v>
      </c>
      <c r="E43" s="226"/>
      <c r="F43" s="236">
        <v>116700000</v>
      </c>
      <c r="G43" s="227"/>
      <c r="H43" s="232">
        <v>116700000</v>
      </c>
      <c r="I43" s="218"/>
      <c r="J43" s="227"/>
      <c r="K43" s="266"/>
      <c r="L43" s="140"/>
    </row>
    <row r="44" spans="3:12" ht="14.45" customHeight="1" x14ac:dyDescent="0.2">
      <c r="C44" s="267"/>
      <c r="D44" s="185" t="s">
        <v>192</v>
      </c>
      <c r="E44" s="218"/>
      <c r="F44" s="365">
        <f>SUM(F41:F43)+1</f>
        <v>1448100687.49</v>
      </c>
      <c r="G44" s="227"/>
      <c r="H44" s="55">
        <f>SUM(H41:H43)</f>
        <v>625525601.66999996</v>
      </c>
      <c r="I44" s="218"/>
      <c r="J44" s="227"/>
      <c r="K44" s="266"/>
      <c r="L44" s="140"/>
    </row>
    <row r="45" spans="3:12" ht="6.6" customHeight="1" x14ac:dyDescent="0.2">
      <c r="C45" s="267"/>
      <c r="D45" s="314"/>
      <c r="E45" s="218"/>
      <c r="F45" s="223"/>
      <c r="G45" s="227"/>
      <c r="H45" s="246"/>
      <c r="I45" s="218"/>
      <c r="J45" s="227"/>
      <c r="K45" s="266"/>
      <c r="L45" s="140"/>
    </row>
    <row r="46" spans="3:12" ht="19.5" customHeight="1" thickBot="1" x14ac:dyDescent="0.25">
      <c r="C46" s="267"/>
      <c r="D46" s="185" t="s">
        <v>39</v>
      </c>
      <c r="E46" s="230"/>
      <c r="F46" s="249">
        <f>+F38+F44</f>
        <v>1513360956.48</v>
      </c>
      <c r="G46" s="227"/>
      <c r="H46" s="249">
        <f>+H38+H44</f>
        <v>685461925.91999996</v>
      </c>
      <c r="I46" s="218"/>
      <c r="J46" s="227"/>
      <c r="K46" s="266"/>
      <c r="L46" s="140"/>
    </row>
    <row r="47" spans="3:12" ht="10.9" customHeight="1" thickTop="1" x14ac:dyDescent="0.2">
      <c r="C47" s="267"/>
      <c r="D47" s="247"/>
      <c r="E47" s="218"/>
      <c r="F47" s="218"/>
      <c r="G47" s="225"/>
      <c r="H47" s="231"/>
      <c r="I47" s="218"/>
      <c r="J47" s="225" t="e">
        <f>+#REF!+#REF!+#REF!</f>
        <v>#REF!</v>
      </c>
      <c r="K47" s="266"/>
      <c r="L47" s="140"/>
    </row>
    <row r="48" spans="3:12" ht="13.9" customHeight="1" x14ac:dyDescent="0.2">
      <c r="C48" s="267"/>
      <c r="D48" s="59" t="s">
        <v>193</v>
      </c>
      <c r="E48" s="218"/>
      <c r="F48" s="227"/>
      <c r="G48" s="227"/>
      <c r="H48" s="218"/>
      <c r="I48" s="218"/>
      <c r="J48" s="218"/>
      <c r="K48" s="266"/>
      <c r="L48" s="140"/>
    </row>
    <row r="49" spans="3:16" x14ac:dyDescent="0.2">
      <c r="C49" s="267"/>
      <c r="D49" s="218" t="s">
        <v>44</v>
      </c>
      <c r="E49" s="218"/>
      <c r="F49" s="219">
        <v>94403308.530000001</v>
      </c>
      <c r="G49" s="227"/>
      <c r="H49" s="219">
        <v>94403309</v>
      </c>
      <c r="I49" s="218"/>
      <c r="J49" s="232">
        <v>53367236.979999997</v>
      </c>
      <c r="K49" s="266"/>
      <c r="L49" s="140"/>
    </row>
    <row r="50" spans="3:16" x14ac:dyDescent="0.2">
      <c r="C50" s="267"/>
      <c r="D50" s="218" t="s">
        <v>194</v>
      </c>
      <c r="E50" s="218"/>
      <c r="F50" s="219">
        <v>493361225.10000002</v>
      </c>
      <c r="G50" s="227"/>
      <c r="H50" s="219">
        <v>432858909</v>
      </c>
      <c r="I50" s="218"/>
      <c r="J50" s="227"/>
      <c r="K50" s="266"/>
      <c r="L50" s="140"/>
    </row>
    <row r="51" spans="3:16" x14ac:dyDescent="0.2">
      <c r="C51" s="267"/>
      <c r="D51" s="218" t="s">
        <v>36</v>
      </c>
      <c r="E51" s="218"/>
      <c r="F51" s="367">
        <v>-12828065.480000099</v>
      </c>
      <c r="G51" s="227"/>
      <c r="H51" s="318">
        <v>41331097.82</v>
      </c>
      <c r="I51" s="218"/>
      <c r="J51" s="227"/>
      <c r="K51" s="266"/>
    </row>
    <row r="52" spans="3:16" x14ac:dyDescent="0.2">
      <c r="C52" s="267"/>
      <c r="D52" s="185" t="s">
        <v>45</v>
      </c>
      <c r="E52" s="218"/>
      <c r="F52" s="254">
        <f>SUM(F49:F51)+1</f>
        <v>574936469.14999986</v>
      </c>
      <c r="G52" s="227"/>
      <c r="H52" s="378">
        <f>SUM(H49:H51)</f>
        <v>568593315.82000005</v>
      </c>
      <c r="I52" s="218"/>
      <c r="J52" s="227"/>
      <c r="K52" s="266"/>
    </row>
    <row r="53" spans="3:16" x14ac:dyDescent="0.2">
      <c r="C53" s="267"/>
      <c r="D53" s="218"/>
      <c r="E53" s="218"/>
      <c r="F53" s="227"/>
      <c r="G53" s="227"/>
      <c r="H53" s="227"/>
      <c r="I53" s="218"/>
      <c r="J53" s="218"/>
      <c r="K53" s="266"/>
    </row>
    <row r="54" spans="3:16" ht="15.75" thickBot="1" x14ac:dyDescent="0.25">
      <c r="C54" s="267"/>
      <c r="D54" s="185" t="s">
        <v>46</v>
      </c>
      <c r="E54" s="217"/>
      <c r="F54" s="175">
        <f>+F52+F46-1</f>
        <v>2088297424.6299999</v>
      </c>
      <c r="G54" s="63"/>
      <c r="H54" s="175">
        <f>+H52+H46</f>
        <v>1254055241.74</v>
      </c>
      <c r="I54" s="218"/>
      <c r="J54" s="233" t="e">
        <f>SUM(J47:J49)</f>
        <v>#REF!</v>
      </c>
      <c r="K54" s="266"/>
    </row>
    <row r="55" spans="3:16" ht="16.5" thickTop="1" thickBot="1" x14ac:dyDescent="0.25">
      <c r="C55" s="268"/>
      <c r="D55" s="269"/>
      <c r="E55" s="269"/>
      <c r="F55" s="269"/>
      <c r="G55" s="270"/>
      <c r="H55" s="270" t="s">
        <v>73</v>
      </c>
      <c r="I55" s="271"/>
      <c r="J55" s="271"/>
      <c r="K55" s="272"/>
    </row>
    <row r="56" spans="3:16" ht="15.75" thickTop="1" x14ac:dyDescent="0.2">
      <c r="C56" s="50"/>
      <c r="D56" s="217"/>
      <c r="E56" s="217"/>
      <c r="F56" s="248"/>
      <c r="G56" s="218"/>
      <c r="H56" s="223"/>
      <c r="I56" s="218"/>
      <c r="J56" s="232">
        <v>-5348157.34</v>
      </c>
      <c r="K56" s="218"/>
    </row>
    <row r="57" spans="3:16" x14ac:dyDescent="0.2">
      <c r="C57" s="50"/>
      <c r="D57" s="217"/>
      <c r="E57" s="217"/>
      <c r="F57" s="319"/>
      <c r="G57" s="319"/>
      <c r="H57" s="319"/>
      <c r="I57" s="218"/>
      <c r="J57" s="227"/>
      <c r="K57" s="218"/>
    </row>
    <row r="58" spans="3:16" x14ac:dyDescent="0.2">
      <c r="C58" s="50"/>
      <c r="D58" s="217"/>
      <c r="E58" s="217"/>
      <c r="F58" s="248"/>
      <c r="G58" s="248"/>
      <c r="H58" s="248"/>
      <c r="I58" s="218"/>
      <c r="J58" s="227"/>
      <c r="K58" s="218"/>
    </row>
    <row r="59" spans="3:16" x14ac:dyDescent="0.2">
      <c r="C59" s="250"/>
      <c r="D59" s="247"/>
      <c r="E59" s="247"/>
      <c r="F59" s="251"/>
      <c r="G59" s="247"/>
      <c r="H59" s="252"/>
      <c r="I59" s="247"/>
      <c r="J59" s="247"/>
      <c r="K59" s="247"/>
      <c r="L59" s="140"/>
    </row>
    <row r="60" spans="3:16" x14ac:dyDescent="0.2">
      <c r="C60" s="18"/>
      <c r="D60" s="340" t="s">
        <v>254</v>
      </c>
      <c r="E60" s="238"/>
      <c r="F60" s="340"/>
      <c r="G60" s="341" t="s">
        <v>212</v>
      </c>
      <c r="H60" s="341"/>
      <c r="I60" s="238"/>
      <c r="J60" s="238"/>
      <c r="K60" s="238"/>
      <c r="L60" s="140"/>
    </row>
    <row r="61" spans="3:16" x14ac:dyDescent="0.2">
      <c r="C61" s="6"/>
      <c r="D61" s="15" t="s">
        <v>255</v>
      </c>
      <c r="E61" s="239"/>
      <c r="F61" s="399" t="s">
        <v>37</v>
      </c>
      <c r="G61" s="399"/>
      <c r="H61" s="399"/>
      <c r="I61" s="240"/>
      <c r="J61" s="240"/>
      <c r="K61" s="241"/>
      <c r="L61" s="141"/>
    </row>
    <row r="62" spans="3:16" x14ac:dyDescent="0.2">
      <c r="C62" s="18"/>
      <c r="D62" s="238"/>
      <c r="E62" s="238"/>
      <c r="F62" s="238"/>
      <c r="G62" s="238"/>
      <c r="H62" s="238"/>
      <c r="I62" s="238"/>
      <c r="J62" s="238"/>
      <c r="K62" s="238"/>
      <c r="L62" s="140"/>
    </row>
    <row r="63" spans="3:16" x14ac:dyDescent="0.2">
      <c r="C63" s="18"/>
      <c r="D63" s="238"/>
      <c r="E63" s="238"/>
      <c r="F63" s="238"/>
      <c r="G63" s="238"/>
      <c r="H63" s="238"/>
      <c r="I63" s="238"/>
      <c r="J63" s="238"/>
      <c r="K63" s="238"/>
      <c r="L63" s="140"/>
      <c r="M63" s="1"/>
      <c r="N63" s="1"/>
      <c r="O63" s="1"/>
      <c r="P63" s="1"/>
    </row>
    <row r="64" spans="3:16" x14ac:dyDescent="0.2">
      <c r="C64" s="18"/>
      <c r="D64" s="237"/>
      <c r="E64" s="238"/>
      <c r="F64" s="238"/>
      <c r="G64" s="238"/>
      <c r="H64" s="238"/>
      <c r="I64" s="238"/>
      <c r="J64" s="238"/>
      <c r="K64" s="238"/>
      <c r="L64" s="140"/>
      <c r="M64" s="1"/>
      <c r="N64" s="1"/>
      <c r="O64" s="1"/>
      <c r="P64" s="1"/>
    </row>
    <row r="65" spans="3:16" x14ac:dyDescent="0.2">
      <c r="C65" s="18"/>
      <c r="D65" s="342" t="s">
        <v>251</v>
      </c>
      <c r="E65" s="343"/>
      <c r="F65" s="343"/>
      <c r="G65" s="253"/>
      <c r="H65" s="253"/>
      <c r="I65" s="253"/>
      <c r="J65" s="253"/>
      <c r="K65" s="238"/>
      <c r="L65" s="140"/>
      <c r="M65" s="1"/>
      <c r="N65" s="1"/>
      <c r="O65" s="1"/>
      <c r="P65" s="1"/>
    </row>
    <row r="66" spans="3:16" x14ac:dyDescent="0.2">
      <c r="C66" s="18"/>
      <c r="D66" s="255" t="s">
        <v>256</v>
      </c>
      <c r="E66" s="242"/>
      <c r="F66" s="242"/>
      <c r="G66" s="242"/>
      <c r="H66" s="238"/>
      <c r="I66" s="242"/>
      <c r="J66" s="242"/>
      <c r="K66" s="238"/>
      <c r="M66" s="1"/>
      <c r="N66" s="1"/>
      <c r="O66" s="1"/>
      <c r="P66" s="1"/>
    </row>
    <row r="67" spans="3:16" x14ac:dyDescent="0.2">
      <c r="C67" s="17"/>
      <c r="D67" s="237"/>
      <c r="E67" s="237"/>
      <c r="F67" s="237"/>
      <c r="G67" s="237"/>
      <c r="H67" s="243"/>
      <c r="I67" s="237"/>
      <c r="J67" s="237"/>
      <c r="K67" s="237"/>
      <c r="M67" s="1"/>
      <c r="N67" s="1"/>
      <c r="O67" s="1"/>
      <c r="P67" s="1"/>
    </row>
    <row r="68" spans="3:16" x14ac:dyDescent="0.2">
      <c r="C68" s="17"/>
      <c r="D68" s="237"/>
      <c r="E68" s="237"/>
      <c r="F68" s="178"/>
      <c r="G68" s="237"/>
      <c r="H68" s="243"/>
      <c r="I68" s="237"/>
      <c r="J68" s="237"/>
      <c r="K68" s="237"/>
      <c r="M68" s="1"/>
      <c r="N68" s="1"/>
      <c r="O68" s="1"/>
      <c r="P68" s="1"/>
    </row>
    <row r="69" spans="3:16" x14ac:dyDescent="0.2">
      <c r="C69" s="17"/>
      <c r="D69" s="243"/>
      <c r="E69" s="237"/>
      <c r="F69" s="178"/>
      <c r="G69" s="237"/>
      <c r="H69" s="237"/>
      <c r="I69" s="237"/>
      <c r="J69" s="237"/>
      <c r="K69" s="237"/>
      <c r="M69" s="1"/>
      <c r="N69" s="1"/>
      <c r="O69" s="1"/>
      <c r="P69" s="1"/>
    </row>
    <row r="70" spans="3:16" x14ac:dyDescent="0.2">
      <c r="C70" s="17"/>
      <c r="D70" s="243"/>
      <c r="E70" s="237"/>
      <c r="F70" s="178"/>
      <c r="G70" s="237"/>
      <c r="H70" s="243"/>
      <c r="I70" s="237"/>
      <c r="J70" s="237"/>
      <c r="K70" s="237"/>
      <c r="M70" s="1"/>
      <c r="N70" s="1"/>
      <c r="O70" s="1"/>
      <c r="P70" s="1"/>
    </row>
    <row r="71" spans="3:16" x14ac:dyDescent="0.2">
      <c r="C71" s="17"/>
      <c r="D71" s="243"/>
      <c r="E71" s="237"/>
      <c r="F71" s="180"/>
      <c r="G71" s="237"/>
      <c r="H71" s="238"/>
      <c r="I71" s="237"/>
      <c r="J71" s="237"/>
      <c r="K71" s="237"/>
      <c r="L71" s="141"/>
      <c r="M71" s="1"/>
      <c r="N71" s="1"/>
      <c r="O71" s="1"/>
      <c r="P71" s="1"/>
    </row>
    <row r="72" spans="3:16" x14ac:dyDescent="0.2">
      <c r="C72" s="17"/>
      <c r="D72" s="244"/>
      <c r="E72" s="237"/>
      <c r="F72" s="178"/>
      <c r="G72" s="237"/>
      <c r="H72" s="243"/>
      <c r="I72" s="237"/>
      <c r="J72" s="237"/>
      <c r="K72" s="237"/>
      <c r="L72" s="141"/>
      <c r="M72" s="1"/>
      <c r="N72" s="1"/>
      <c r="O72" s="1"/>
      <c r="P72" s="1"/>
    </row>
    <row r="73" spans="3:16" x14ac:dyDescent="0.2">
      <c r="C73" s="17"/>
      <c r="D73" s="243"/>
      <c r="E73" s="237"/>
      <c r="F73" s="179"/>
      <c r="G73" s="237"/>
      <c r="H73" s="178"/>
      <c r="I73" s="237"/>
      <c r="J73" s="237"/>
      <c r="K73" s="237"/>
      <c r="L73" s="140"/>
      <c r="M73" s="1"/>
      <c r="N73" s="1"/>
      <c r="O73" s="1"/>
      <c r="P73" s="1"/>
    </row>
    <row r="74" spans="3:16" x14ac:dyDescent="0.2">
      <c r="C74" s="17"/>
      <c r="D74" s="237"/>
      <c r="E74" s="237"/>
      <c r="F74" s="178"/>
      <c r="G74" s="237"/>
      <c r="H74" s="243"/>
      <c r="I74" s="237"/>
      <c r="J74" s="237"/>
      <c r="K74" s="237"/>
      <c r="L74" s="140"/>
      <c r="M74" s="1"/>
      <c r="N74" s="1"/>
      <c r="O74" s="1"/>
      <c r="P74" s="1"/>
    </row>
    <row r="75" spans="3:16" x14ac:dyDescent="0.2">
      <c r="C75" s="17"/>
      <c r="D75" s="237"/>
      <c r="E75" s="237"/>
      <c r="F75" s="178">
        <f>+F54-F31</f>
        <v>-0.53999972343444824</v>
      </c>
      <c r="G75" s="237"/>
      <c r="H75" s="178">
        <f>+H54-H31</f>
        <v>9.9999904632568359E-2</v>
      </c>
      <c r="I75" s="237"/>
      <c r="J75" s="237"/>
      <c r="K75" s="237"/>
      <c r="L75" s="140"/>
      <c r="M75" s="1"/>
      <c r="N75" s="1"/>
      <c r="O75" s="1"/>
      <c r="P75" s="1"/>
    </row>
    <row r="76" spans="3:16" x14ac:dyDescent="0.2">
      <c r="C76" s="17"/>
      <c r="D76" s="237"/>
      <c r="E76" s="237"/>
      <c r="F76" s="178"/>
      <c r="G76" s="237"/>
      <c r="H76" s="178"/>
      <c r="I76" s="237"/>
      <c r="J76" s="237"/>
      <c r="K76" s="237"/>
      <c r="L76" s="140"/>
      <c r="M76" s="1"/>
      <c r="N76" s="1"/>
      <c r="O76" s="1"/>
      <c r="P76" s="1"/>
    </row>
    <row r="77" spans="3:16" x14ac:dyDescent="0.2">
      <c r="C77" s="17"/>
      <c r="D77" s="237"/>
      <c r="E77" s="237"/>
      <c r="F77" s="178"/>
      <c r="G77" s="237"/>
      <c r="H77" s="178"/>
      <c r="I77" s="237"/>
      <c r="J77" s="237"/>
      <c r="K77" s="237" t="s">
        <v>20</v>
      </c>
      <c r="L77" s="140"/>
      <c r="M77" s="1"/>
      <c r="N77" s="1"/>
      <c r="O77" s="1"/>
      <c r="P77" s="1"/>
    </row>
    <row r="78" spans="3:16" s="2" customFormat="1" x14ac:dyDescent="0.2">
      <c r="C78" s="17"/>
      <c r="D78" s="237"/>
      <c r="E78" s="237"/>
      <c r="F78" s="178"/>
      <c r="G78" s="237"/>
      <c r="H78" s="178"/>
      <c r="I78" s="237"/>
      <c r="J78" s="237"/>
      <c r="K78" s="237"/>
      <c r="L78" s="4"/>
    </row>
    <row r="79" spans="3:16" customFormat="1" x14ac:dyDescent="0.2">
      <c r="C79" s="17"/>
      <c r="D79" s="237"/>
      <c r="E79" s="237"/>
      <c r="F79" s="178"/>
      <c r="G79" s="237"/>
      <c r="H79" s="180"/>
      <c r="I79" s="237"/>
      <c r="J79" s="237"/>
      <c r="K79" s="237"/>
      <c r="L79" s="4"/>
    </row>
    <row r="80" spans="3:16" customFormat="1" ht="15" customHeight="1" x14ac:dyDescent="0.2">
      <c r="C80" s="17"/>
      <c r="D80" s="237"/>
      <c r="E80" s="237"/>
      <c r="F80" s="180"/>
      <c r="G80" s="237"/>
      <c r="H80" s="178"/>
      <c r="I80" s="237"/>
      <c r="J80" s="237"/>
      <c r="K80" s="237"/>
      <c r="L80" s="142"/>
    </row>
    <row r="81" spans="3:12" s="2" customFormat="1" x14ac:dyDescent="0.2">
      <c r="C81" s="17"/>
      <c r="D81" s="237"/>
      <c r="E81" s="237"/>
      <c r="F81" s="178"/>
      <c r="G81" s="237"/>
      <c r="H81" s="243"/>
      <c r="I81" s="237"/>
      <c r="J81" s="237"/>
      <c r="K81" s="237"/>
      <c r="L81" s="4"/>
    </row>
    <row r="82" spans="3:12" s="2" customFormat="1" x14ac:dyDescent="0.2">
      <c r="C82" s="17"/>
      <c r="D82" s="237"/>
      <c r="E82" s="237"/>
      <c r="F82" s="179"/>
      <c r="G82" s="237"/>
      <c r="H82" s="245"/>
      <c r="I82" s="237"/>
      <c r="J82" s="237"/>
      <c r="K82" s="237"/>
      <c r="L82" s="4"/>
    </row>
    <row r="83" spans="3:12" s="2" customFormat="1" x14ac:dyDescent="0.2">
      <c r="C83" s="17"/>
      <c r="D83" s="237"/>
      <c r="E83" s="237"/>
      <c r="F83" s="178"/>
      <c r="G83" s="237"/>
      <c r="H83" s="245"/>
      <c r="I83" s="237"/>
      <c r="J83" s="237"/>
      <c r="K83" s="237"/>
      <c r="L83" s="4"/>
    </row>
    <row r="84" spans="3:12" s="2" customFormat="1" x14ac:dyDescent="0.2">
      <c r="C84" s="17"/>
      <c r="D84" s="237"/>
      <c r="E84" s="237"/>
      <c r="F84" s="178"/>
      <c r="G84" s="237"/>
      <c r="H84" s="237"/>
      <c r="I84" s="237"/>
      <c r="J84" s="237"/>
      <c r="K84" s="237"/>
      <c r="L84" s="4"/>
    </row>
    <row r="85" spans="3:12" x14ac:dyDescent="0.2">
      <c r="C85" s="17"/>
      <c r="D85" s="237"/>
      <c r="E85" s="237"/>
      <c r="F85" s="178"/>
      <c r="G85" s="237"/>
      <c r="H85" s="237"/>
      <c r="I85" s="237"/>
      <c r="J85" s="237"/>
      <c r="K85" s="237"/>
    </row>
    <row r="86" spans="3:12" x14ac:dyDescent="0.2">
      <c r="C86" s="17"/>
      <c r="D86" s="237"/>
      <c r="E86" s="237"/>
      <c r="F86" s="243"/>
      <c r="G86" s="237"/>
      <c r="H86" s="237"/>
      <c r="I86" s="237"/>
      <c r="J86" s="237"/>
      <c r="K86" s="237"/>
    </row>
    <row r="87" spans="3:12" x14ac:dyDescent="0.2">
      <c r="C87" s="17"/>
      <c r="D87" s="237"/>
      <c r="E87" s="237"/>
      <c r="F87" s="243"/>
      <c r="G87" s="237"/>
      <c r="H87" s="237"/>
      <c r="I87" s="237"/>
      <c r="J87" s="237"/>
      <c r="K87" s="237"/>
    </row>
    <row r="88" spans="3:12" x14ac:dyDescent="0.2">
      <c r="C88" s="17"/>
      <c r="D88" s="237"/>
      <c r="E88" s="237"/>
      <c r="F88" s="237"/>
      <c r="G88" s="237"/>
      <c r="H88" s="237"/>
      <c r="I88" s="237"/>
      <c r="J88" s="237"/>
      <c r="K88" s="237"/>
    </row>
    <row r="89" spans="3:12" x14ac:dyDescent="0.2">
      <c r="C89" s="17"/>
      <c r="D89" s="237"/>
      <c r="E89" s="237"/>
      <c r="F89" s="237"/>
      <c r="G89" s="237"/>
      <c r="H89" s="237"/>
      <c r="I89" s="237"/>
      <c r="J89" s="237"/>
      <c r="K89" s="237"/>
    </row>
    <row r="90" spans="3:12" x14ac:dyDescent="0.2">
      <c r="C90" s="17"/>
      <c r="D90" s="237"/>
      <c r="E90" s="237"/>
      <c r="F90" s="237"/>
      <c r="G90" s="237"/>
      <c r="H90" s="237"/>
      <c r="I90" s="237"/>
      <c r="J90" s="237"/>
      <c r="K90" s="237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1:K181"/>
  <sheetViews>
    <sheetView zoomScale="110" zoomScaleNormal="110" zoomScaleSheetLayoutView="75" workbookViewId="0">
      <selection activeCell="N10" sqref="N10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9"/>
      <c r="D6" s="389"/>
      <c r="E6" s="389"/>
      <c r="F6" s="389"/>
      <c r="G6" s="389"/>
      <c r="H6" s="389"/>
      <c r="I6" s="389"/>
      <c r="J6" s="390"/>
      <c r="K6" s="27"/>
    </row>
    <row r="7" spans="2:11" x14ac:dyDescent="0.2">
      <c r="B7" s="28"/>
      <c r="C7" s="389" t="s">
        <v>98</v>
      </c>
      <c r="D7" s="389"/>
      <c r="E7" s="389"/>
      <c r="F7" s="389"/>
      <c r="G7" s="389"/>
      <c r="H7" s="389"/>
      <c r="I7" s="389"/>
      <c r="J7" s="390"/>
      <c r="K7" s="27"/>
    </row>
    <row r="8" spans="2:11" x14ac:dyDescent="0.2">
      <c r="B8" s="28"/>
      <c r="C8" s="389" t="str">
        <f>+RESULTADOS!B10</f>
        <v>DEL 01 DE ENERO AL 30 DE NOVIEMBRE 2022</v>
      </c>
      <c r="D8" s="389"/>
      <c r="E8" s="389"/>
      <c r="F8" s="389"/>
      <c r="G8" s="389"/>
      <c r="H8" s="389"/>
      <c r="I8" s="389"/>
      <c r="J8" s="390"/>
      <c r="K8" s="27"/>
    </row>
    <row r="9" spans="2:11" x14ac:dyDescent="0.2">
      <c r="B9" s="28"/>
      <c r="C9" s="389" t="str">
        <f>+'SITUACION '!C8:K8</f>
        <v>(Valores en RD$)</v>
      </c>
      <c r="D9" s="389"/>
      <c r="E9" s="389"/>
      <c r="F9" s="389"/>
      <c r="G9" s="389"/>
      <c r="H9" s="389"/>
      <c r="I9" s="389"/>
      <c r="J9" s="390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116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280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106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103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71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70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140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163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100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101</v>
      </c>
      <c r="E25" s="76"/>
      <c r="F25" s="76"/>
      <c r="G25" s="126">
        <v>15882454.289999999</v>
      </c>
      <c r="H25" s="67"/>
      <c r="I25" s="67"/>
      <c r="J25" s="77"/>
      <c r="K25" s="27"/>
    </row>
    <row r="26" spans="2:11" x14ac:dyDescent="0.2">
      <c r="B26" s="72"/>
      <c r="C26" s="79"/>
      <c r="D26" s="76" t="s">
        <v>102</v>
      </c>
      <c r="E26" s="76"/>
      <c r="F26" s="66"/>
      <c r="G26" s="60">
        <v>30861512.77</v>
      </c>
      <c r="H26" s="67"/>
      <c r="I26" s="67"/>
      <c r="J26" s="77"/>
      <c r="K26" s="27"/>
    </row>
    <row r="27" spans="2:11" x14ac:dyDescent="0.2">
      <c r="B27" s="72"/>
      <c r="C27" s="79"/>
      <c r="D27" s="76" t="s">
        <v>111</v>
      </c>
      <c r="E27" s="67"/>
      <c r="F27" s="67"/>
      <c r="G27" s="60">
        <v>3837150.76</v>
      </c>
      <c r="H27" s="60"/>
      <c r="I27" s="76"/>
      <c r="J27" s="77"/>
      <c r="K27" s="27"/>
    </row>
    <row r="28" spans="2:11" x14ac:dyDescent="0.2">
      <c r="B28" s="72"/>
      <c r="C28" s="79"/>
      <c r="D28" s="76" t="s">
        <v>112</v>
      </c>
      <c r="E28" s="76"/>
      <c r="F28" s="67"/>
      <c r="G28" s="65">
        <v>2133968.11</v>
      </c>
      <c r="H28" s="65">
        <f>SUM(G25:G28)</f>
        <v>52715085.93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52865085.93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154</v>
      </c>
      <c r="E32" s="76"/>
      <c r="F32" s="76"/>
      <c r="G32" s="60">
        <v>6398907.6299999999</v>
      </c>
      <c r="H32" s="60"/>
      <c r="I32" s="60"/>
      <c r="J32" s="77"/>
      <c r="K32" s="27"/>
    </row>
    <row r="33" spans="2:11" x14ac:dyDescent="0.2">
      <c r="B33" s="72"/>
      <c r="C33" s="79"/>
      <c r="D33" s="76" t="s">
        <v>59</v>
      </c>
      <c r="E33" s="76"/>
      <c r="F33" s="76"/>
      <c r="G33" s="60">
        <v>18779643.420000002</v>
      </c>
      <c r="I33" s="60"/>
      <c r="J33" s="77"/>
      <c r="K33" s="27"/>
    </row>
    <row r="34" spans="2:11" x14ac:dyDescent="0.2">
      <c r="B34" s="72"/>
      <c r="C34" s="79"/>
      <c r="D34" s="76" t="s">
        <v>138</v>
      </c>
      <c r="E34" s="76"/>
      <c r="F34" s="76"/>
      <c r="G34" s="60">
        <v>1779249.25</v>
      </c>
      <c r="H34" s="60"/>
      <c r="I34" s="60"/>
      <c r="J34" s="77"/>
      <c r="K34" s="27"/>
    </row>
    <row r="35" spans="2:11" x14ac:dyDescent="0.2">
      <c r="B35" s="72"/>
      <c r="C35" s="79"/>
      <c r="D35" s="76" t="s">
        <v>137</v>
      </c>
      <c r="F35" s="76"/>
      <c r="G35" s="60">
        <v>671024.23</v>
      </c>
      <c r="H35" s="60"/>
      <c r="I35" s="60"/>
      <c r="J35" s="304"/>
      <c r="K35" s="27"/>
    </row>
    <row r="36" spans="2:11" x14ac:dyDescent="0.2">
      <c r="B36" s="72"/>
      <c r="C36" s="79"/>
      <c r="D36" s="76" t="s">
        <v>68</v>
      </c>
      <c r="E36" s="67"/>
      <c r="F36" s="76"/>
      <c r="G36" s="65">
        <v>3442865.18</v>
      </c>
      <c r="H36" s="65">
        <f>SUM(G32:G36)</f>
        <v>31071689.710000001</v>
      </c>
      <c r="I36" s="60"/>
      <c r="J36" s="77"/>
      <c r="K36" s="27"/>
    </row>
    <row r="37" spans="2:11" hidden="1" x14ac:dyDescent="0.2">
      <c r="B37" s="72"/>
      <c r="C37" s="79"/>
      <c r="D37" s="76" t="s">
        <v>67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141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143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153</v>
      </c>
      <c r="E41" s="67"/>
      <c r="F41" s="67"/>
      <c r="G41" s="60">
        <v>225254718.55000001</v>
      </c>
      <c r="H41" s="60"/>
      <c r="I41" s="66"/>
      <c r="J41" s="77"/>
      <c r="K41" s="27"/>
    </row>
    <row r="42" spans="2:11" x14ac:dyDescent="0.2">
      <c r="B42" s="72"/>
      <c r="C42" s="79"/>
      <c r="D42" s="67" t="s">
        <v>142</v>
      </c>
      <c r="E42" s="66"/>
      <c r="F42" s="67"/>
      <c r="G42" s="65">
        <v>385081217.87</v>
      </c>
      <c r="H42" s="65">
        <f>SUM(G41:G42)</f>
        <v>610335936.42000008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144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641407626.13000011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179</v>
      </c>
      <c r="D46" s="74" t="s">
        <v>126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304"/>
      <c r="K47" s="27"/>
    </row>
    <row r="48" spans="2:11" x14ac:dyDescent="0.2">
      <c r="B48" s="72"/>
      <c r="C48" s="73"/>
      <c r="D48" s="76" t="s">
        <v>119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180</v>
      </c>
      <c r="D51" s="74" t="s">
        <v>120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122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146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146</v>
      </c>
      <c r="E55" s="76"/>
      <c r="F55" s="76"/>
      <c r="G55" s="76"/>
      <c r="H55" s="83">
        <v>209553.21</v>
      </c>
      <c r="I55" s="76"/>
      <c r="J55" s="77"/>
      <c r="K55" s="27"/>
    </row>
    <row r="56" spans="2:11" x14ac:dyDescent="0.2">
      <c r="B56" s="72"/>
      <c r="C56" s="78"/>
      <c r="D56" s="76" t="s">
        <v>202</v>
      </c>
      <c r="E56" s="76"/>
      <c r="F56" s="76"/>
      <c r="G56" s="76"/>
      <c r="H56" s="364">
        <v>3201854.45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3411407.66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91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182</v>
      </c>
      <c r="D62" s="89" t="s">
        <v>276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400" t="s">
        <v>172</v>
      </c>
      <c r="E64" s="160"/>
      <c r="F64" s="161"/>
      <c r="G64" s="400" t="s">
        <v>173</v>
      </c>
      <c r="H64" s="160" t="s">
        <v>114</v>
      </c>
      <c r="I64" s="162" t="s">
        <v>174</v>
      </c>
      <c r="J64" s="77"/>
      <c r="K64" s="27"/>
    </row>
    <row r="65" spans="1:11" ht="15" thickBot="1" x14ac:dyDescent="0.25">
      <c r="B65" s="72"/>
      <c r="C65" s="163"/>
      <c r="D65" s="401"/>
      <c r="E65" s="96"/>
      <c r="F65" s="97"/>
      <c r="G65" s="401"/>
      <c r="H65" s="96" t="s">
        <v>175</v>
      </c>
      <c r="I65" s="164" t="s">
        <v>176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177</v>
      </c>
      <c r="D67" s="76"/>
      <c r="E67" s="76"/>
      <c r="F67" s="67"/>
      <c r="G67" s="60">
        <v>179178600</v>
      </c>
      <c r="H67" s="61"/>
      <c r="I67" s="166">
        <f>+G67-H67</f>
        <v>179178600</v>
      </c>
      <c r="J67" s="77"/>
      <c r="K67" s="27"/>
    </row>
    <row r="68" spans="1:11" ht="14.25" customHeight="1" x14ac:dyDescent="0.2">
      <c r="B68" s="72"/>
      <c r="C68" s="167" t="s">
        <v>178</v>
      </c>
      <c r="D68" s="76"/>
      <c r="E68" s="76"/>
      <c r="F68" s="67"/>
      <c r="G68" s="329">
        <v>90440344.430000007</v>
      </c>
      <c r="H68" s="388">
        <v>31896977.460000001</v>
      </c>
      <c r="I68" s="166">
        <f t="shared" ref="I68:I80" si="0">+G68-H68</f>
        <v>58543366.970000006</v>
      </c>
      <c r="J68" s="77"/>
      <c r="K68" s="27"/>
    </row>
    <row r="69" spans="1:11" ht="14.25" hidden="1" customHeight="1" x14ac:dyDescent="0.2">
      <c r="B69" s="72"/>
      <c r="C69" s="338" t="s">
        <v>207</v>
      </c>
      <c r="D69" s="76"/>
      <c r="E69" s="76"/>
      <c r="F69" s="67"/>
      <c r="G69" s="329">
        <v>0</v>
      </c>
      <c r="H69" s="388"/>
      <c r="I69" s="166">
        <f t="shared" si="0"/>
        <v>0</v>
      </c>
      <c r="J69" s="77"/>
      <c r="K69" s="27"/>
    </row>
    <row r="70" spans="1:11" ht="14.25" customHeight="1" x14ac:dyDescent="0.2">
      <c r="B70" s="72"/>
      <c r="C70" s="338" t="s">
        <v>241</v>
      </c>
      <c r="D70" s="76"/>
      <c r="E70" s="76"/>
      <c r="F70" s="67"/>
      <c r="G70" s="329">
        <v>57355386.329999998</v>
      </c>
      <c r="H70" s="388"/>
      <c r="I70" s="166">
        <f t="shared" si="0"/>
        <v>57355386.329999998</v>
      </c>
      <c r="J70" s="77"/>
      <c r="K70" s="27"/>
    </row>
    <row r="71" spans="1:11" ht="14.25" hidden="1" customHeight="1" x14ac:dyDescent="0.2">
      <c r="B71" s="72"/>
      <c r="C71" s="338" t="s">
        <v>208</v>
      </c>
      <c r="D71" s="76"/>
      <c r="E71" s="76"/>
      <c r="F71" s="67"/>
      <c r="G71" s="329">
        <v>0</v>
      </c>
      <c r="H71" s="388"/>
      <c r="I71" s="166">
        <f t="shared" si="0"/>
        <v>0</v>
      </c>
      <c r="J71" s="77"/>
      <c r="K71" s="27"/>
    </row>
    <row r="72" spans="1:11" ht="14.25" customHeight="1" x14ac:dyDescent="0.2">
      <c r="B72" s="72"/>
      <c r="C72" s="338" t="s">
        <v>211</v>
      </c>
      <c r="D72" s="76"/>
      <c r="E72" s="76"/>
      <c r="F72" s="67"/>
      <c r="G72" s="329">
        <f>203095.19</f>
        <v>203095.19</v>
      </c>
      <c r="H72" s="388"/>
      <c r="I72" s="166">
        <f t="shared" si="0"/>
        <v>203095.19</v>
      </c>
      <c r="J72" s="77"/>
      <c r="K72" s="27"/>
    </row>
    <row r="73" spans="1:11" x14ac:dyDescent="0.2">
      <c r="A73" s="8"/>
      <c r="B73" s="72"/>
      <c r="C73" s="338" t="s">
        <v>149</v>
      </c>
      <c r="D73" s="76"/>
      <c r="E73" s="76"/>
      <c r="F73" s="321"/>
      <c r="G73" s="329">
        <f>17037922.94+1683000.02+58000</f>
        <v>18778922.960000001</v>
      </c>
      <c r="H73" s="388">
        <v>16996282.870000001</v>
      </c>
      <c r="I73" s="166">
        <f t="shared" si="0"/>
        <v>1782640.0899999999</v>
      </c>
      <c r="J73" s="77"/>
      <c r="K73" s="27"/>
    </row>
    <row r="74" spans="1:11" ht="15.75" customHeight="1" x14ac:dyDescent="0.2">
      <c r="B74" s="72"/>
      <c r="C74" s="338" t="s">
        <v>75</v>
      </c>
      <c r="D74" s="76"/>
      <c r="E74" s="76"/>
      <c r="F74" s="67"/>
      <c r="G74" s="9">
        <f>49340307.82+474300.18</f>
        <v>49814608</v>
      </c>
      <c r="H74" s="388">
        <v>35266110.960000001</v>
      </c>
      <c r="I74" s="166">
        <f t="shared" si="0"/>
        <v>14548497.039999999</v>
      </c>
      <c r="J74" s="77"/>
      <c r="K74" s="27"/>
    </row>
    <row r="75" spans="1:11" x14ac:dyDescent="0.2">
      <c r="A75" s="8"/>
      <c r="B75" s="72"/>
      <c r="C75" s="338" t="s">
        <v>41</v>
      </c>
      <c r="D75" s="76"/>
      <c r="E75" s="76"/>
      <c r="F75" s="67"/>
      <c r="G75" s="329">
        <v>4621488.09</v>
      </c>
      <c r="H75" s="388">
        <v>3310130.46</v>
      </c>
      <c r="I75" s="166">
        <f t="shared" si="0"/>
        <v>1311357.6299999999</v>
      </c>
      <c r="J75" s="77"/>
      <c r="K75" s="27"/>
    </row>
    <row r="76" spans="1:11" hidden="1" x14ac:dyDescent="0.2">
      <c r="A76" s="8"/>
      <c r="B76" s="72"/>
      <c r="C76" s="338" t="s">
        <v>162</v>
      </c>
      <c r="D76" s="76"/>
      <c r="E76" s="76"/>
      <c r="F76" s="67"/>
      <c r="G76" s="329">
        <v>0</v>
      </c>
      <c r="H76" s="61">
        <f>+H722</f>
        <v>0</v>
      </c>
      <c r="I76" s="166">
        <f t="shared" si="0"/>
        <v>0</v>
      </c>
      <c r="J76" s="77"/>
      <c r="K76" s="27"/>
    </row>
    <row r="77" spans="1:11" hidden="1" x14ac:dyDescent="0.2">
      <c r="A77" s="8"/>
      <c r="B77" s="72"/>
      <c r="C77" s="338" t="s">
        <v>43</v>
      </c>
      <c r="D77" s="76"/>
      <c r="E77" s="76"/>
      <c r="F77" s="67"/>
      <c r="G77" s="329">
        <v>0</v>
      </c>
      <c r="H77" s="61">
        <v>0</v>
      </c>
      <c r="I77" s="166">
        <f t="shared" si="0"/>
        <v>0</v>
      </c>
      <c r="J77" s="77"/>
      <c r="K77" s="27"/>
    </row>
    <row r="78" spans="1:11" x14ac:dyDescent="0.2">
      <c r="B78" s="72"/>
      <c r="C78" s="338" t="s">
        <v>167</v>
      </c>
      <c r="D78" s="76"/>
      <c r="E78" s="76"/>
      <c r="F78" s="67"/>
      <c r="G78" s="329">
        <v>19622867.149999999</v>
      </c>
      <c r="H78" s="61">
        <f>19622850.02+17</f>
        <v>19622867.02</v>
      </c>
      <c r="I78" s="166">
        <f t="shared" si="0"/>
        <v>0.12999999895691872</v>
      </c>
      <c r="J78" s="77"/>
      <c r="K78" s="27"/>
    </row>
    <row r="79" spans="1:11" x14ac:dyDescent="0.2">
      <c r="B79" s="72"/>
      <c r="C79" s="167" t="s">
        <v>92</v>
      </c>
      <c r="D79" s="76"/>
      <c r="E79" s="76"/>
      <c r="F79" s="67"/>
      <c r="G79" s="329">
        <v>57312602.840000004</v>
      </c>
      <c r="H79" s="61">
        <v>50432704.390000001</v>
      </c>
      <c r="I79" s="166">
        <f t="shared" si="0"/>
        <v>6879898.450000003</v>
      </c>
      <c r="J79" s="77"/>
      <c r="K79" s="27"/>
    </row>
    <row r="80" spans="1:11" x14ac:dyDescent="0.2">
      <c r="B80" s="72"/>
      <c r="C80" s="167" t="s">
        <v>133</v>
      </c>
      <c r="D80" s="76"/>
      <c r="E80" s="76"/>
      <c r="F80" s="67"/>
      <c r="G80" s="337">
        <f>21204072.6+167500+79532</f>
        <v>21451104.600000001</v>
      </c>
      <c r="H80" s="98">
        <v>9974833.25</v>
      </c>
      <c r="I80" s="166">
        <f t="shared" si="0"/>
        <v>11476271.350000001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498779019.58999991</v>
      </c>
      <c r="H81" s="99">
        <f>SUM(H68:H80)+1</f>
        <v>167499907.40999997</v>
      </c>
      <c r="I81" s="170">
        <f>SUM(I67:I80)</f>
        <v>331279113.18000001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239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216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240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237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238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57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171</v>
      </c>
      <c r="D93" s="59" t="s">
        <v>58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172</v>
      </c>
      <c r="E95" s="103" t="s">
        <v>93</v>
      </c>
      <c r="F95" s="103" t="s">
        <v>160</v>
      </c>
      <c r="G95" s="103" t="s">
        <v>161</v>
      </c>
      <c r="H95" s="150" t="s">
        <v>56</v>
      </c>
      <c r="I95" s="104" t="s">
        <v>215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166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185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186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68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172</v>
      </c>
      <c r="E102" s="104" t="s">
        <v>188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69"/>
      <c r="J103" s="101"/>
    </row>
    <row r="104" spans="2:10" ht="14.25" customHeight="1" x14ac:dyDescent="0.2">
      <c r="B104" s="100"/>
      <c r="C104" s="54"/>
      <c r="D104" s="54" t="s">
        <v>166</v>
      </c>
      <c r="E104" s="347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185</v>
      </c>
      <c r="E105" s="347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186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0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0"/>
      <c r="F108" s="348"/>
      <c r="G108" s="183"/>
      <c r="H108" s="86"/>
      <c r="I108" s="63"/>
      <c r="J108" s="106"/>
    </row>
    <row r="109" spans="2:10" x14ac:dyDescent="0.2">
      <c r="B109" s="100"/>
      <c r="C109" s="59" t="s">
        <v>209</v>
      </c>
      <c r="D109" s="331" t="s">
        <v>242</v>
      </c>
      <c r="E109" s="331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0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249</v>
      </c>
      <c r="E111" s="332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89</v>
      </c>
      <c r="D116" s="86" t="s">
        <v>277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65</v>
      </c>
      <c r="G118" s="67"/>
      <c r="H118" s="105">
        <v>883004.39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66</v>
      </c>
      <c r="G119" s="109"/>
      <c r="H119" s="114">
        <v>12437601.800000001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118</v>
      </c>
      <c r="H120" s="110">
        <f>SUM(H118:H119)+1</f>
        <v>13320607.190000001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134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117</v>
      </c>
      <c r="D124" s="112" t="s">
        <v>278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246</v>
      </c>
      <c r="G127" s="90"/>
      <c r="H127" s="105">
        <v>1315220669.8299999</v>
      </c>
      <c r="I127" s="55"/>
      <c r="J127" s="108"/>
    </row>
    <row r="128" spans="1:10" hidden="1" x14ac:dyDescent="0.2">
      <c r="B128" s="100"/>
      <c r="C128" s="67"/>
      <c r="D128" s="67" t="s">
        <v>155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135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150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136</v>
      </c>
      <c r="G131" s="90"/>
      <c r="H131" s="115">
        <f>SUM(H127:H130)</f>
        <v>1315220669.8299999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121</v>
      </c>
      <c r="D133" s="74" t="s">
        <v>127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279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131</v>
      </c>
      <c r="E138" s="94"/>
      <c r="F138" s="94"/>
      <c r="G138" s="112"/>
      <c r="H138" s="360">
        <f>5940660.64-1</f>
        <v>5940659.6399999997</v>
      </c>
      <c r="I138" s="63"/>
      <c r="J138" s="108"/>
    </row>
    <row r="139" spans="2:10" x14ac:dyDescent="0.2">
      <c r="B139" s="100"/>
      <c r="C139" s="67"/>
      <c r="D139" s="94" t="s">
        <v>115</v>
      </c>
      <c r="E139" s="94"/>
      <c r="F139" s="94"/>
      <c r="G139" s="112"/>
      <c r="H139" s="105">
        <v>345811.69</v>
      </c>
      <c r="I139" s="63"/>
      <c r="J139" s="108"/>
    </row>
    <row r="140" spans="2:10" x14ac:dyDescent="0.2">
      <c r="B140" s="100"/>
      <c r="C140" s="67"/>
      <c r="D140" s="94" t="s">
        <v>113</v>
      </c>
      <c r="E140" s="94"/>
      <c r="F140" s="94"/>
      <c r="G140" s="112"/>
      <c r="H140" s="360">
        <v>17469663.98</v>
      </c>
      <c r="I140" s="66"/>
      <c r="J140" s="108"/>
    </row>
    <row r="141" spans="2:10" hidden="1" x14ac:dyDescent="0.2">
      <c r="B141" s="100"/>
      <c r="C141" s="67"/>
      <c r="D141" s="94" t="s">
        <v>257</v>
      </c>
      <c r="E141" s="94"/>
      <c r="F141" s="94"/>
      <c r="G141" s="112"/>
      <c r="H141" s="105">
        <v>0</v>
      </c>
      <c r="I141" s="66"/>
      <c r="J141" s="108"/>
    </row>
    <row r="142" spans="2:10" hidden="1" x14ac:dyDescent="0.2">
      <c r="B142" s="100"/>
      <c r="C142" s="67"/>
      <c r="D142" s="94" t="s">
        <v>90</v>
      </c>
      <c r="E142" s="94"/>
      <c r="F142" s="94"/>
      <c r="G142" s="112"/>
      <c r="H142" s="61">
        <v>0</v>
      </c>
      <c r="I142" s="66"/>
      <c r="J142" s="108"/>
    </row>
    <row r="143" spans="2:10" hidden="1" x14ac:dyDescent="0.2">
      <c r="B143" s="100"/>
      <c r="C143" s="67"/>
      <c r="D143" s="94" t="s">
        <v>204</v>
      </c>
      <c r="E143" s="94"/>
      <c r="F143" s="94"/>
      <c r="G143" s="112"/>
      <c r="H143" s="61">
        <v>0</v>
      </c>
      <c r="I143" s="66"/>
      <c r="J143" s="108"/>
    </row>
    <row r="144" spans="2:10" x14ac:dyDescent="0.2">
      <c r="B144" s="100"/>
      <c r="C144" s="67"/>
      <c r="D144" s="121" t="s">
        <v>151</v>
      </c>
      <c r="E144" s="121"/>
      <c r="F144" s="94"/>
      <c r="G144" s="112"/>
      <c r="H144" s="105">
        <v>25321550.129999999</v>
      </c>
      <c r="I144" s="66"/>
      <c r="J144" s="108"/>
    </row>
    <row r="145" spans="2:10" hidden="1" x14ac:dyDescent="0.2">
      <c r="B145" s="100"/>
      <c r="C145" s="67"/>
      <c r="D145" s="94" t="s">
        <v>21</v>
      </c>
      <c r="E145" s="94"/>
      <c r="F145" s="94"/>
      <c r="G145" s="112"/>
      <c r="H145" s="105">
        <v>0</v>
      </c>
      <c r="I145" s="66"/>
      <c r="J145" s="108"/>
    </row>
    <row r="146" spans="2:10" x14ac:dyDescent="0.2">
      <c r="B146" s="100"/>
      <c r="C146" s="67"/>
      <c r="D146" s="121" t="s">
        <v>250</v>
      </c>
      <c r="E146" s="121"/>
      <c r="F146" s="94"/>
      <c r="G146" s="112"/>
      <c r="H146" s="105">
        <v>2797400</v>
      </c>
      <c r="I146" s="66"/>
      <c r="J146" s="108"/>
    </row>
    <row r="147" spans="2:10" ht="15" thickBot="1" x14ac:dyDescent="0.25">
      <c r="B147" s="100"/>
      <c r="C147" s="67"/>
      <c r="D147" s="122"/>
      <c r="E147" s="122"/>
      <c r="F147" s="94"/>
      <c r="G147" s="90" t="s">
        <v>128</v>
      </c>
      <c r="H147" s="115">
        <f>SUM(H138:H146)</f>
        <v>51875085.439999998</v>
      </c>
      <c r="I147" s="66"/>
      <c r="J147" s="108"/>
    </row>
    <row r="148" spans="2:10" ht="15" thickTop="1" x14ac:dyDescent="0.2">
      <c r="B148" s="100"/>
      <c r="C148" s="67"/>
      <c r="D148" s="122"/>
      <c r="E148" s="122"/>
      <c r="F148" s="94"/>
      <c r="G148" s="67"/>
      <c r="H148" s="67"/>
      <c r="I148" s="66"/>
      <c r="J148" s="108"/>
    </row>
    <row r="149" spans="2:10" hidden="1" x14ac:dyDescent="0.2">
      <c r="B149" s="100"/>
      <c r="C149" s="73" t="s">
        <v>129</v>
      </c>
      <c r="D149" s="74" t="s">
        <v>11</v>
      </c>
      <c r="E149" s="74"/>
      <c r="F149" s="75"/>
      <c r="G149" s="54"/>
      <c r="H149" s="123"/>
      <c r="I149" s="66"/>
      <c r="J149" s="108"/>
    </row>
    <row r="150" spans="2:10" hidden="1" x14ac:dyDescent="0.2">
      <c r="B150" s="100"/>
      <c r="C150" s="67"/>
      <c r="D150" s="54"/>
      <c r="E150" s="54"/>
      <c r="F150" s="54"/>
      <c r="G150" s="54"/>
      <c r="H150" s="123"/>
      <c r="I150" s="55"/>
      <c r="J150" s="108"/>
    </row>
    <row r="151" spans="2:10" ht="15" hidden="1" thickBot="1" x14ac:dyDescent="0.25">
      <c r="B151" s="100"/>
      <c r="C151" s="54"/>
      <c r="D151" s="54"/>
      <c r="E151" s="54"/>
      <c r="F151" s="54"/>
      <c r="G151" s="54"/>
      <c r="H151" s="123"/>
      <c r="I151" s="124" t="e">
        <f>+#REF!</f>
        <v>#REF!</v>
      </c>
      <c r="J151" s="101"/>
    </row>
    <row r="152" spans="2:10" hidden="1" x14ac:dyDescent="0.2">
      <c r="B152" s="100"/>
      <c r="C152" s="54" t="s">
        <v>183</v>
      </c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/>
      <c r="D153" s="54"/>
      <c r="E153" s="54"/>
      <c r="F153" s="54"/>
      <c r="G153" s="54"/>
      <c r="H153" s="67"/>
      <c r="I153" s="54"/>
      <c r="J153" s="108"/>
    </row>
    <row r="154" spans="2:10" hidden="1" x14ac:dyDescent="0.2">
      <c r="B154" s="100"/>
      <c r="C154" s="54" t="s">
        <v>72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189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152</v>
      </c>
      <c r="D156" s="54"/>
      <c r="E156" s="54"/>
      <c r="F156" s="54"/>
      <c r="G156" s="54"/>
      <c r="H156" s="67"/>
      <c r="I156" s="55"/>
      <c r="J156" s="108"/>
    </row>
    <row r="157" spans="2:10" hidden="1" x14ac:dyDescent="0.2">
      <c r="B157" s="100"/>
      <c r="C157" s="54" t="s">
        <v>2</v>
      </c>
      <c r="D157" s="54"/>
      <c r="E157" s="54"/>
      <c r="F157" s="54"/>
      <c r="G157" s="54"/>
      <c r="H157" s="67"/>
      <c r="I157" s="55" t="s">
        <v>73</v>
      </c>
      <c r="J157" s="108"/>
    </row>
    <row r="158" spans="2:10" hidden="1" x14ac:dyDescent="0.2">
      <c r="B158" s="100"/>
      <c r="C158" s="54" t="s">
        <v>3</v>
      </c>
      <c r="D158" s="54"/>
      <c r="E158" s="54"/>
      <c r="F158" s="54"/>
      <c r="G158" s="54"/>
      <c r="H158" s="67"/>
      <c r="I158" s="55"/>
      <c r="J158" s="108"/>
    </row>
    <row r="159" spans="2:10" hidden="1" x14ac:dyDescent="0.2">
      <c r="B159" s="100"/>
      <c r="C159" s="59" t="s">
        <v>107</v>
      </c>
      <c r="D159" s="54"/>
      <c r="E159" s="54"/>
      <c r="F159" s="54"/>
      <c r="G159" s="54"/>
      <c r="H159" s="67"/>
      <c r="I159" s="56">
        <v>0</v>
      </c>
      <c r="J159" s="108"/>
    </row>
    <row r="160" spans="2:10" hidden="1" x14ac:dyDescent="0.2">
      <c r="B160" s="100"/>
      <c r="C160" s="54" t="s">
        <v>108</v>
      </c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54"/>
      <c r="D161" s="54"/>
      <c r="E161" s="54"/>
      <c r="F161" s="54"/>
      <c r="G161" s="54"/>
      <c r="H161" s="67"/>
      <c r="I161" s="61"/>
      <c r="J161" s="108"/>
    </row>
    <row r="162" spans="2:10" x14ac:dyDescent="0.2">
      <c r="B162" s="100"/>
      <c r="C162" s="177"/>
      <c r="D162" s="59"/>
      <c r="E162" s="59"/>
      <c r="F162" s="54"/>
      <c r="G162" s="54"/>
      <c r="I162" s="111"/>
      <c r="J162" s="108"/>
    </row>
    <row r="163" spans="2:10" ht="21.75" customHeight="1" thickBot="1" x14ac:dyDescent="0.25">
      <c r="B163" s="156"/>
      <c r="C163" s="158"/>
      <c r="D163" s="158"/>
      <c r="E163" s="158"/>
      <c r="F163" s="157"/>
      <c r="G163" s="157"/>
      <c r="H163" s="116"/>
      <c r="I163" s="110"/>
      <c r="J163" s="120"/>
    </row>
    <row r="164" spans="2:10" ht="15" thickTop="1" x14ac:dyDescent="0.2">
      <c r="C164" s="54"/>
    </row>
    <row r="165" spans="2:10" x14ac:dyDescent="0.2">
      <c r="H165" s="23"/>
    </row>
    <row r="166" spans="2:10" x14ac:dyDescent="0.2">
      <c r="H166" s="23"/>
    </row>
    <row r="167" spans="2:10" x14ac:dyDescent="0.2">
      <c r="D167" s="37"/>
      <c r="E167" s="40"/>
      <c r="F167" s="9"/>
      <c r="G167" s="38"/>
      <c r="H167" s="11"/>
    </row>
    <row r="168" spans="2:10" x14ac:dyDescent="0.2">
      <c r="D168" s="37"/>
      <c r="E168" s="40"/>
      <c r="F168" s="9"/>
      <c r="G168" s="38"/>
      <c r="H168" s="27"/>
    </row>
    <row r="169" spans="2:10" x14ac:dyDescent="0.2">
      <c r="H169" s="346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H1871"/>
  <sheetViews>
    <sheetView zoomScale="110" zoomScaleNormal="110" workbookViewId="0">
      <selection activeCell="C3" sqref="C3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59"/>
      <c r="C5" s="260"/>
      <c r="D5" s="260"/>
      <c r="E5" s="260"/>
      <c r="F5" s="260"/>
      <c r="G5" s="261"/>
    </row>
    <row r="6" spans="2:7" x14ac:dyDescent="0.2">
      <c r="B6" s="262"/>
      <c r="C6" s="21"/>
      <c r="D6" s="21"/>
      <c r="E6" s="21"/>
      <c r="F6" s="21"/>
      <c r="G6" s="263"/>
    </row>
    <row r="7" spans="2:7" x14ac:dyDescent="0.2">
      <c r="B7" s="262"/>
      <c r="C7" s="21"/>
      <c r="D7" s="21"/>
      <c r="E7" s="21"/>
      <c r="F7" s="21"/>
      <c r="G7" s="263"/>
    </row>
    <row r="8" spans="2:7" x14ac:dyDescent="0.2">
      <c r="B8" s="262"/>
      <c r="C8" s="5"/>
      <c r="D8" s="5"/>
      <c r="E8" s="5"/>
      <c r="F8" s="5"/>
      <c r="G8" s="263"/>
    </row>
    <row r="9" spans="2:7" x14ac:dyDescent="0.2">
      <c r="B9" s="392" t="s">
        <v>1</v>
      </c>
      <c r="C9" s="393"/>
      <c r="D9" s="393"/>
      <c r="E9" s="393"/>
      <c r="F9" s="393"/>
      <c r="G9" s="394"/>
    </row>
    <row r="10" spans="2:7" x14ac:dyDescent="0.2">
      <c r="B10" s="392" t="str">
        <f>+'CASH F'!$B$10:$F$10</f>
        <v>DEL 01 DE ENERO AL 30 DE NOVIEMBRE 2022</v>
      </c>
      <c r="C10" s="393"/>
      <c r="D10" s="393"/>
      <c r="E10" s="393"/>
      <c r="F10" s="393"/>
      <c r="G10" s="394"/>
    </row>
    <row r="11" spans="2:7" x14ac:dyDescent="0.2">
      <c r="B11" s="392" t="s">
        <v>168</v>
      </c>
      <c r="C11" s="393"/>
      <c r="D11" s="393"/>
      <c r="E11" s="393"/>
      <c r="F11" s="393"/>
      <c r="G11" s="394"/>
    </row>
    <row r="12" spans="2:7" ht="15" thickBot="1" x14ac:dyDescent="0.25">
      <c r="B12" s="273"/>
      <c r="C12" s="22"/>
      <c r="D12" s="22"/>
      <c r="E12" s="22"/>
      <c r="F12" s="22"/>
      <c r="G12" s="274"/>
    </row>
    <row r="13" spans="2:7" x14ac:dyDescent="0.2">
      <c r="B13" s="275"/>
      <c r="C13" s="54"/>
      <c r="D13" s="54"/>
      <c r="E13" s="54"/>
      <c r="F13" s="54"/>
      <c r="G13" s="101"/>
    </row>
    <row r="14" spans="2:7" x14ac:dyDescent="0.2">
      <c r="B14" s="275"/>
      <c r="C14" s="54"/>
      <c r="D14" s="317" t="s">
        <v>275</v>
      </c>
      <c r="E14" s="53"/>
      <c r="F14" s="317" t="s">
        <v>69</v>
      </c>
      <c r="G14" s="101"/>
    </row>
    <row r="15" spans="2:7" x14ac:dyDescent="0.2">
      <c r="B15" s="275"/>
      <c r="C15" s="54"/>
      <c r="D15" s="54"/>
      <c r="E15" s="54"/>
      <c r="F15" s="54"/>
      <c r="G15" s="101"/>
    </row>
    <row r="16" spans="2:7" x14ac:dyDescent="0.2">
      <c r="B16" s="275"/>
      <c r="C16" s="51" t="s">
        <v>195</v>
      </c>
      <c r="D16" s="67"/>
      <c r="E16" s="67"/>
      <c r="F16" s="67"/>
      <c r="G16" s="101"/>
    </row>
    <row r="17" spans="2:7" ht="12.75" hidden="1" customHeight="1" x14ac:dyDescent="0.2">
      <c r="B17" s="275"/>
      <c r="C17" s="54" t="s">
        <v>60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75"/>
      <c r="C18" s="54" t="s">
        <v>164</v>
      </c>
      <c r="D18" s="105"/>
      <c r="E18" s="105"/>
      <c r="F18" s="105">
        <f>+D18</f>
        <v>0</v>
      </c>
      <c r="G18" s="101"/>
    </row>
    <row r="19" spans="2:7" x14ac:dyDescent="0.2">
      <c r="B19" s="275"/>
      <c r="C19" s="54"/>
      <c r="D19" s="105"/>
      <c r="E19" s="105"/>
      <c r="F19" s="105"/>
      <c r="G19" s="101"/>
    </row>
    <row r="20" spans="2:7" x14ac:dyDescent="0.2">
      <c r="B20" s="275"/>
      <c r="C20" s="54" t="s">
        <v>130</v>
      </c>
      <c r="D20" s="379">
        <v>28444703.66</v>
      </c>
      <c r="E20" s="379"/>
      <c r="F20" s="379">
        <v>299387633.44</v>
      </c>
      <c r="G20" s="101"/>
    </row>
    <row r="21" spans="2:7" x14ac:dyDescent="0.2">
      <c r="B21" s="275"/>
      <c r="C21" s="54" t="s">
        <v>139</v>
      </c>
      <c r="D21" s="379">
        <v>45167919.109999999</v>
      </c>
      <c r="E21" s="379"/>
      <c r="F21" s="379">
        <v>475264527.18000001</v>
      </c>
      <c r="G21" s="101"/>
    </row>
    <row r="22" spans="2:7" hidden="1" x14ac:dyDescent="0.2">
      <c r="B22" s="275"/>
      <c r="C22" s="54" t="s">
        <v>145</v>
      </c>
      <c r="D22" s="379">
        <v>0</v>
      </c>
      <c r="E22" s="379"/>
      <c r="F22" s="379">
        <v>0</v>
      </c>
      <c r="G22" s="101"/>
    </row>
    <row r="23" spans="2:7" hidden="1" x14ac:dyDescent="0.2">
      <c r="B23" s="275"/>
      <c r="C23" s="54" t="s">
        <v>147</v>
      </c>
      <c r="D23" s="105">
        <v>0</v>
      </c>
      <c r="E23" s="380"/>
      <c r="F23" s="105">
        <v>0</v>
      </c>
      <c r="G23" s="101"/>
    </row>
    <row r="24" spans="2:7" x14ac:dyDescent="0.2">
      <c r="B24" s="275"/>
      <c r="C24" s="54" t="s">
        <v>88</v>
      </c>
      <c r="D24" s="114">
        <v>2516950.41</v>
      </c>
      <c r="E24" s="361"/>
      <c r="F24" s="114">
        <v>19765360.490000002</v>
      </c>
      <c r="G24" s="101"/>
    </row>
    <row r="25" spans="2:7" x14ac:dyDescent="0.2">
      <c r="B25" s="275"/>
      <c r="C25" s="64" t="s">
        <v>169</v>
      </c>
      <c r="D25" s="366">
        <f>SUM(D20:D24)</f>
        <v>76129573.179999992</v>
      </c>
      <c r="E25" s="105"/>
      <c r="F25" s="62">
        <f>SUM(F20:F24)-1</f>
        <v>794417520.11000001</v>
      </c>
      <c r="G25" s="101"/>
    </row>
    <row r="26" spans="2:7" x14ac:dyDescent="0.2">
      <c r="B26" s="275"/>
      <c r="D26" s="361"/>
      <c r="E26" s="320"/>
      <c r="G26" s="101"/>
    </row>
    <row r="27" spans="2:7" x14ac:dyDescent="0.2">
      <c r="B27" s="275"/>
      <c r="C27" s="51" t="s">
        <v>196</v>
      </c>
      <c r="D27" s="276"/>
      <c r="F27" s="363"/>
      <c r="G27" s="101"/>
    </row>
    <row r="28" spans="2:7" x14ac:dyDescent="0.2">
      <c r="B28" s="275"/>
      <c r="C28" s="51"/>
      <c r="D28" s="105"/>
      <c r="E28" s="105"/>
      <c r="F28" s="105"/>
      <c r="G28" s="101"/>
    </row>
    <row r="29" spans="2:7" x14ac:dyDescent="0.2">
      <c r="B29" s="275"/>
      <c r="C29" s="94" t="s">
        <v>76</v>
      </c>
      <c r="D29" s="379">
        <v>54877086.659999996</v>
      </c>
      <c r="E29" s="361"/>
      <c r="F29" s="379">
        <v>600554749.40999997</v>
      </c>
      <c r="G29" s="101"/>
    </row>
    <row r="30" spans="2:7" x14ac:dyDescent="0.2">
      <c r="B30" s="275"/>
      <c r="C30" s="381" t="s">
        <v>77</v>
      </c>
      <c r="D30" s="379">
        <v>11916870.210000001</v>
      </c>
      <c r="E30" s="382"/>
      <c r="F30" s="379">
        <v>159010138.47999999</v>
      </c>
      <c r="G30" s="101"/>
    </row>
    <row r="31" spans="2:7" x14ac:dyDescent="0.2">
      <c r="B31" s="275"/>
      <c r="C31" s="381" t="s">
        <v>210</v>
      </c>
      <c r="D31" s="379">
        <v>2934758.51</v>
      </c>
      <c r="E31" s="382"/>
      <c r="F31" s="379">
        <v>35375904.449999996</v>
      </c>
      <c r="G31" s="101"/>
    </row>
    <row r="32" spans="2:7" x14ac:dyDescent="0.2">
      <c r="B32" s="275"/>
      <c r="C32" s="381" t="s">
        <v>94</v>
      </c>
      <c r="D32" s="379">
        <v>959768.47</v>
      </c>
      <c r="E32" s="361"/>
      <c r="F32" s="379">
        <v>10717716.33</v>
      </c>
      <c r="G32" s="101"/>
    </row>
    <row r="33" spans="2:7" x14ac:dyDescent="0.2">
      <c r="B33" s="275"/>
      <c r="C33" s="381" t="s">
        <v>78</v>
      </c>
      <c r="D33" s="383">
        <v>131150</v>
      </c>
      <c r="E33" s="361"/>
      <c r="F33" s="383">
        <v>1587077.92</v>
      </c>
      <c r="G33" s="101"/>
    </row>
    <row r="34" spans="2:7" x14ac:dyDescent="0.2">
      <c r="B34" s="275"/>
      <c r="C34" s="58" t="s">
        <v>80</v>
      </c>
      <c r="D34" s="62">
        <f>SUM(D29:D33)</f>
        <v>70819633.849999994</v>
      </c>
      <c r="E34" s="111"/>
      <c r="F34" s="62">
        <f>SUM(F29:F33)-2</f>
        <v>807245584.59000003</v>
      </c>
      <c r="G34" s="101"/>
    </row>
    <row r="35" spans="2:7" x14ac:dyDescent="0.2">
      <c r="B35" s="275"/>
      <c r="C35" s="58"/>
      <c r="D35" s="111"/>
      <c r="E35" s="111"/>
      <c r="F35" s="111"/>
      <c r="G35" s="101"/>
    </row>
    <row r="36" spans="2:7" hidden="1" x14ac:dyDescent="0.2">
      <c r="B36" s="275"/>
      <c r="C36" s="51" t="s">
        <v>79</v>
      </c>
      <c r="D36" s="105"/>
      <c r="E36" s="50"/>
      <c r="F36" s="105"/>
      <c r="G36" s="101"/>
    </row>
    <row r="37" spans="2:7" hidden="1" x14ac:dyDescent="0.2">
      <c r="B37" s="275"/>
      <c r="C37" s="94" t="s">
        <v>170</v>
      </c>
      <c r="D37" s="125">
        <v>0</v>
      </c>
      <c r="E37" s="50"/>
      <c r="F37" s="114">
        <v>0</v>
      </c>
      <c r="G37" s="101"/>
    </row>
    <row r="38" spans="2:7" hidden="1" x14ac:dyDescent="0.2">
      <c r="B38" s="275"/>
      <c r="C38" s="58" t="s">
        <v>81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75"/>
      <c r="C39" s="58"/>
      <c r="D39" s="111"/>
      <c r="E39" s="111"/>
      <c r="F39" s="111"/>
      <c r="G39" s="101"/>
    </row>
    <row r="40" spans="2:7" x14ac:dyDescent="0.2">
      <c r="B40" s="275"/>
      <c r="C40" s="64" t="s">
        <v>62</v>
      </c>
      <c r="D40" s="62">
        <f>+D38+D34</f>
        <v>70819633.849999994</v>
      </c>
      <c r="E40" s="105"/>
      <c r="F40" s="62">
        <f>+F38+F34</f>
        <v>807245584.59000003</v>
      </c>
      <c r="G40" s="101"/>
    </row>
    <row r="41" spans="2:7" x14ac:dyDescent="0.2">
      <c r="B41" s="275"/>
      <c r="C41" s="54"/>
      <c r="D41" s="105"/>
      <c r="E41" s="105"/>
      <c r="F41" s="114"/>
      <c r="G41" s="101"/>
    </row>
    <row r="42" spans="2:7" ht="15" thickBot="1" x14ac:dyDescent="0.25">
      <c r="B42" s="275"/>
      <c r="C42" s="64" t="s">
        <v>148</v>
      </c>
      <c r="D42" s="115">
        <f>+D25-D40</f>
        <v>5309939.3299999982</v>
      </c>
      <c r="E42" s="105"/>
      <c r="F42" s="115">
        <f>+F25-F34-1</f>
        <v>-12828065.480000019</v>
      </c>
      <c r="G42" s="101"/>
    </row>
    <row r="43" spans="2:7" ht="15" thickTop="1" x14ac:dyDescent="0.2">
      <c r="B43" s="275"/>
      <c r="C43" s="54"/>
      <c r="D43" s="60"/>
      <c r="E43" s="67"/>
      <c r="F43" s="67"/>
      <c r="G43" s="101"/>
    </row>
    <row r="44" spans="2:7" ht="14.25" hidden="1" customHeight="1" x14ac:dyDescent="0.2">
      <c r="B44" s="275"/>
      <c r="C44" s="51"/>
      <c r="D44" s="60"/>
      <c r="E44" s="67"/>
      <c r="F44" s="67"/>
      <c r="G44" s="101"/>
    </row>
    <row r="45" spans="2:7" hidden="1" x14ac:dyDescent="0.2">
      <c r="B45" s="275"/>
      <c r="C45" s="51"/>
      <c r="D45" s="60"/>
      <c r="E45" s="67"/>
      <c r="F45" s="67"/>
      <c r="G45" s="101"/>
    </row>
    <row r="46" spans="2:7" hidden="1" x14ac:dyDescent="0.2">
      <c r="B46" s="275"/>
      <c r="C46" s="51"/>
      <c r="D46" s="60"/>
      <c r="E46" s="67"/>
      <c r="F46" s="67"/>
      <c r="G46" s="101"/>
    </row>
    <row r="47" spans="2:7" x14ac:dyDescent="0.2">
      <c r="B47" s="275"/>
      <c r="C47" s="59"/>
      <c r="D47" s="86"/>
      <c r="E47" s="50"/>
      <c r="F47" s="50"/>
      <c r="G47" s="101"/>
    </row>
    <row r="48" spans="2:7" x14ac:dyDescent="0.2">
      <c r="B48" s="275"/>
      <c r="C48" s="59"/>
      <c r="D48" s="276"/>
      <c r="E48" s="50"/>
      <c r="F48" s="276"/>
      <c r="G48" s="101"/>
    </row>
    <row r="49" spans="2:8" x14ac:dyDescent="0.2">
      <c r="B49" s="275"/>
      <c r="C49" s="54"/>
      <c r="D49" s="276"/>
      <c r="E49" s="276"/>
      <c r="F49" s="276"/>
      <c r="G49" s="101"/>
    </row>
    <row r="50" spans="2:8" x14ac:dyDescent="0.2">
      <c r="B50" s="275"/>
      <c r="C50" s="54"/>
      <c r="E50" s="54"/>
      <c r="F50" s="127"/>
      <c r="G50" s="101"/>
    </row>
    <row r="51" spans="2:8" ht="15" thickBot="1" x14ac:dyDescent="0.25">
      <c r="B51" s="277"/>
      <c r="C51" s="157"/>
      <c r="D51" s="278"/>
      <c r="E51" s="157"/>
      <c r="F51" s="279"/>
      <c r="G51" s="280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44" t="s">
        <v>254</v>
      </c>
      <c r="D56" s="402" t="s">
        <v>213</v>
      </c>
      <c r="E56" s="402"/>
      <c r="F56" s="402"/>
      <c r="G56" s="13"/>
    </row>
    <row r="57" spans="2:8" s="6" customFormat="1" x14ac:dyDescent="0.2">
      <c r="B57" s="12"/>
      <c r="C57" s="15" t="s">
        <v>255</v>
      </c>
      <c r="D57" s="399" t="s">
        <v>190</v>
      </c>
      <c r="E57" s="399"/>
      <c r="F57" s="399"/>
      <c r="G57" s="14"/>
      <c r="H57" s="3"/>
    </row>
    <row r="58" spans="2:8" s="6" customFormat="1" x14ac:dyDescent="0.2">
      <c r="B58" s="12"/>
      <c r="D58" s="256"/>
      <c r="E58" s="256"/>
      <c r="F58" s="256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252</v>
      </c>
      <c r="D61" s="13"/>
      <c r="E61" s="13"/>
      <c r="F61" s="13"/>
      <c r="G61" s="13"/>
    </row>
    <row r="62" spans="2:8" s="18" customFormat="1" x14ac:dyDescent="0.2">
      <c r="B62" s="13"/>
      <c r="C62" s="257" t="s">
        <v>40</v>
      </c>
      <c r="D62" s="257"/>
      <c r="E62" s="257"/>
      <c r="F62" s="257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G82"/>
  <sheetViews>
    <sheetView tabSelected="1" zoomScale="110" zoomScaleNormal="110" workbookViewId="0">
      <selection activeCell="B37" sqref="B37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81"/>
      <c r="C4" s="282"/>
      <c r="D4" s="283"/>
      <c r="E4" s="283"/>
      <c r="F4" s="284"/>
    </row>
    <row r="5" spans="2:6" x14ac:dyDescent="0.2">
      <c r="B5" s="285"/>
      <c r="C5" s="44"/>
      <c r="D5" s="45"/>
      <c r="E5" s="45"/>
      <c r="F5" s="286"/>
    </row>
    <row r="6" spans="2:6" x14ac:dyDescent="0.2">
      <c r="B6" s="285"/>
      <c r="C6" s="44"/>
      <c r="D6" s="45"/>
      <c r="E6" s="45"/>
      <c r="F6" s="286"/>
    </row>
    <row r="7" spans="2:6" x14ac:dyDescent="0.2">
      <c r="B7" s="285"/>
      <c r="C7" s="44"/>
      <c r="D7" s="45"/>
      <c r="E7" s="45"/>
      <c r="F7" s="287"/>
    </row>
    <row r="8" spans="2:6" x14ac:dyDescent="0.2">
      <c r="B8" s="288"/>
      <c r="C8" s="20"/>
      <c r="D8" s="20"/>
      <c r="E8" s="20"/>
      <c r="F8" s="289"/>
    </row>
    <row r="9" spans="2:6" x14ac:dyDescent="0.2">
      <c r="B9" s="392" t="s">
        <v>7</v>
      </c>
      <c r="C9" s="393"/>
      <c r="D9" s="393"/>
      <c r="E9" s="393"/>
      <c r="F9" s="394"/>
    </row>
    <row r="10" spans="2:6" x14ac:dyDescent="0.2">
      <c r="B10" s="392" t="s">
        <v>274</v>
      </c>
      <c r="C10" s="393"/>
      <c r="D10" s="393"/>
      <c r="E10" s="393"/>
      <c r="F10" s="394"/>
    </row>
    <row r="11" spans="2:6" x14ac:dyDescent="0.2">
      <c r="B11" s="392" t="s">
        <v>168</v>
      </c>
      <c r="C11" s="393"/>
      <c r="D11" s="393"/>
      <c r="E11" s="393"/>
      <c r="F11" s="394"/>
    </row>
    <row r="12" spans="2:6" ht="15" thickBot="1" x14ac:dyDescent="0.25">
      <c r="B12" s="290"/>
      <c r="C12" s="46"/>
      <c r="D12" s="47"/>
      <c r="E12" s="47"/>
      <c r="F12" s="291"/>
    </row>
    <row r="13" spans="2:6" x14ac:dyDescent="0.2">
      <c r="B13" s="292"/>
      <c r="C13" s="128"/>
      <c r="D13" s="129"/>
      <c r="E13" s="129"/>
      <c r="F13" s="293"/>
    </row>
    <row r="14" spans="2:6" x14ac:dyDescent="0.2">
      <c r="B14" s="351" t="s">
        <v>197</v>
      </c>
      <c r="C14" s="86"/>
      <c r="D14" s="130"/>
      <c r="E14" s="131"/>
      <c r="F14" s="295"/>
    </row>
    <row r="15" spans="2:6" x14ac:dyDescent="0.2">
      <c r="B15" s="294"/>
      <c r="C15" s="86"/>
      <c r="D15" s="130"/>
      <c r="E15" s="131"/>
      <c r="F15" s="295"/>
    </row>
    <row r="16" spans="2:6" x14ac:dyDescent="0.2">
      <c r="B16" s="352" t="s">
        <v>200</v>
      </c>
      <c r="C16" s="86"/>
      <c r="D16" s="130"/>
      <c r="E16" s="131"/>
      <c r="F16" s="295"/>
    </row>
    <row r="17" spans="2:7" x14ac:dyDescent="0.2">
      <c r="B17" s="353" t="s">
        <v>0</v>
      </c>
      <c r="C17" s="86"/>
      <c r="D17" s="130"/>
      <c r="E17" s="336" t="str">
        <f>+RESULTADOS!D14</f>
        <v>Noviembre</v>
      </c>
      <c r="F17" s="359" t="str">
        <f>+RESULTADOS!F14</f>
        <v>Acumulado</v>
      </c>
    </row>
    <row r="18" spans="2:7" x14ac:dyDescent="0.2">
      <c r="B18" s="296"/>
      <c r="C18" s="86"/>
      <c r="D18" s="130"/>
      <c r="E18" s="130"/>
      <c r="F18" s="295"/>
    </row>
    <row r="19" spans="2:7" ht="12.75" customHeight="1" x14ac:dyDescent="0.2">
      <c r="B19" s="297" t="s">
        <v>84</v>
      </c>
      <c r="C19" s="86"/>
      <c r="D19" s="130"/>
      <c r="E19" s="57">
        <f>+RESULTADOS!D42</f>
        <v>5309939.3299999982</v>
      </c>
      <c r="F19" s="295">
        <f>+RESULTADOS!F42</f>
        <v>-12828065.480000019</v>
      </c>
      <c r="G19" s="8"/>
    </row>
    <row r="20" spans="2:7" ht="12" customHeight="1" x14ac:dyDescent="0.2">
      <c r="B20" s="297"/>
      <c r="C20" s="86"/>
      <c r="D20" s="130"/>
      <c r="E20" s="57"/>
      <c r="F20" s="295"/>
      <c r="G20" s="8"/>
    </row>
    <row r="21" spans="2:7" ht="14.25" customHeight="1" x14ac:dyDescent="0.2">
      <c r="B21" s="275" t="s">
        <v>156</v>
      </c>
      <c r="C21" s="67"/>
      <c r="D21" s="131"/>
      <c r="E21" s="326">
        <v>143772.91000000003</v>
      </c>
      <c r="F21" s="298">
        <f>342031.3+E21</f>
        <v>485804.21</v>
      </c>
      <c r="G21" s="8"/>
    </row>
    <row r="22" spans="2:7" ht="14.25" hidden="1" customHeight="1" x14ac:dyDescent="0.2">
      <c r="B22" s="275" t="s">
        <v>110</v>
      </c>
      <c r="C22" s="67"/>
      <c r="D22" s="131"/>
      <c r="E22" s="339"/>
      <c r="F22" s="376"/>
      <c r="G22" s="8"/>
    </row>
    <row r="23" spans="2:7" ht="14.25" hidden="1" customHeight="1" x14ac:dyDescent="0.2">
      <c r="B23" s="275" t="s">
        <v>12</v>
      </c>
      <c r="C23" s="67"/>
      <c r="D23" s="131"/>
      <c r="E23" s="339"/>
      <c r="F23" s="376"/>
      <c r="G23" s="8"/>
    </row>
    <row r="24" spans="2:7" s="48" customFormat="1" x14ac:dyDescent="0.2">
      <c r="B24" s="275" t="s">
        <v>159</v>
      </c>
      <c r="C24" s="86"/>
      <c r="D24" s="130"/>
      <c r="E24" s="339">
        <v>1806005.44</v>
      </c>
      <c r="F24" s="376">
        <f>-4046424.9+E24</f>
        <v>-2240419.46</v>
      </c>
      <c r="G24" s="8"/>
    </row>
    <row r="25" spans="2:7" s="48" customFormat="1" ht="13.5" customHeight="1" x14ac:dyDescent="0.2">
      <c r="B25" s="275" t="s">
        <v>82</v>
      </c>
      <c r="C25" s="86"/>
      <c r="D25" s="130"/>
      <c r="E25" s="339">
        <v>-934419.43</v>
      </c>
      <c r="F25" s="376">
        <f>-373698.04+E25</f>
        <v>-1308117.47</v>
      </c>
      <c r="G25" s="8"/>
    </row>
    <row r="26" spans="2:7" s="48" customFormat="1" ht="13.5" customHeight="1" x14ac:dyDescent="0.2">
      <c r="B26" s="275" t="s">
        <v>124</v>
      </c>
      <c r="C26" s="86"/>
      <c r="D26" s="130"/>
      <c r="E26" s="339">
        <v>209553.16</v>
      </c>
      <c r="F26" s="376">
        <f>2095531.6+E26</f>
        <v>2305084.7600000002</v>
      </c>
      <c r="G26" s="8"/>
    </row>
    <row r="27" spans="2:7" s="48" customFormat="1" x14ac:dyDescent="0.2">
      <c r="B27" s="275" t="s">
        <v>74</v>
      </c>
      <c r="C27" s="86"/>
      <c r="D27" s="130"/>
      <c r="E27" s="339">
        <v>2784029.04</v>
      </c>
      <c r="F27" s="376">
        <f>-18414591.41+E27</f>
        <v>-15630562.370000001</v>
      </c>
      <c r="G27" s="8"/>
    </row>
    <row r="28" spans="2:7" s="48" customFormat="1" x14ac:dyDescent="0.2">
      <c r="B28" s="275" t="s">
        <v>109</v>
      </c>
      <c r="C28" s="86"/>
      <c r="D28" s="130"/>
      <c r="E28" s="339">
        <v>21237.599999999999</v>
      </c>
      <c r="F28" s="376">
        <f>343558.35+E28</f>
        <v>364795.94999999995</v>
      </c>
      <c r="G28" s="8"/>
    </row>
    <row r="29" spans="2:7" s="48" customFormat="1" x14ac:dyDescent="0.2">
      <c r="B29" s="275" t="s">
        <v>83</v>
      </c>
      <c r="C29" s="86"/>
      <c r="D29" s="130"/>
      <c r="E29" s="339">
        <v>-27949271.859999999</v>
      </c>
      <c r="F29" s="376">
        <f>64816564.21+E29</f>
        <v>36867292.350000001</v>
      </c>
      <c r="G29" s="8"/>
    </row>
    <row r="30" spans="2:7" s="48" customFormat="1" hidden="1" x14ac:dyDescent="0.2">
      <c r="B30" s="275" t="s">
        <v>165</v>
      </c>
      <c r="C30" s="86"/>
      <c r="D30" s="130"/>
      <c r="E30" s="339"/>
      <c r="F30" s="376"/>
      <c r="G30" s="8"/>
    </row>
    <row r="31" spans="2:7" s="48" customFormat="1" x14ac:dyDescent="0.2">
      <c r="B31" s="275" t="s">
        <v>104</v>
      </c>
      <c r="C31" s="86"/>
      <c r="D31" s="130"/>
      <c r="E31" s="326">
        <v>7052081.0099999998</v>
      </c>
      <c r="F31" s="298">
        <f>876202783.8+E31</f>
        <v>883254864.80999994</v>
      </c>
      <c r="G31" s="8"/>
    </row>
    <row r="32" spans="2:7" s="48" customFormat="1" x14ac:dyDescent="0.2">
      <c r="B32" s="275" t="s">
        <v>247</v>
      </c>
      <c r="C32" s="86"/>
      <c r="D32" s="130"/>
      <c r="E32" s="326">
        <v>224141695.84999999</v>
      </c>
      <c r="F32" s="298">
        <f>-463591092.25+E32</f>
        <v>-239449396.40000001</v>
      </c>
      <c r="G32" s="8"/>
    </row>
    <row r="33" spans="2:7" s="48" customFormat="1" ht="15" thickBot="1" x14ac:dyDescent="0.25">
      <c r="B33" s="356"/>
      <c r="C33" s="117"/>
      <c r="D33" s="357"/>
      <c r="E33" s="357"/>
      <c r="F33" s="358"/>
      <c r="G33" s="35"/>
    </row>
    <row r="34" spans="2:7" ht="16.5" customHeight="1" thickTop="1" thickBot="1" x14ac:dyDescent="0.25">
      <c r="B34" s="354" t="s">
        <v>198</v>
      </c>
      <c r="C34" s="132"/>
      <c r="D34" s="133" t="e">
        <f>+#REF!</f>
        <v>#REF!</v>
      </c>
      <c r="E34" s="355">
        <f>SUM(E19:E33)</f>
        <v>212584623.04999998</v>
      </c>
      <c r="F34" s="306">
        <f>SUM(F19:F33)</f>
        <v>651821280.89999998</v>
      </c>
      <c r="G34" s="8"/>
    </row>
    <row r="35" spans="2:7" ht="14.25" customHeight="1" x14ac:dyDescent="0.2">
      <c r="B35" s="302"/>
      <c r="C35" s="128"/>
      <c r="D35" s="129"/>
      <c r="E35" s="129"/>
      <c r="F35" s="293"/>
      <c r="G35" s="8"/>
    </row>
    <row r="36" spans="2:7" x14ac:dyDescent="0.2">
      <c r="B36" s="294" t="s">
        <v>217</v>
      </c>
      <c r="C36" s="86"/>
      <c r="D36" s="130"/>
      <c r="E36" s="131"/>
      <c r="F36" s="295"/>
      <c r="G36" s="8"/>
    </row>
    <row r="37" spans="2:7" x14ac:dyDescent="0.2">
      <c r="B37" s="303"/>
      <c r="C37" s="86"/>
      <c r="D37" s="130"/>
      <c r="E37" s="335"/>
      <c r="F37" s="304"/>
      <c r="G37" s="8"/>
    </row>
    <row r="38" spans="2:7" x14ac:dyDescent="0.2">
      <c r="B38" s="305" t="s">
        <v>201</v>
      </c>
      <c r="C38" s="86"/>
      <c r="D38" s="130"/>
      <c r="E38" s="327">
        <v>22761041.960000001</v>
      </c>
      <c r="F38" s="299">
        <f>-821650197.03+E38</f>
        <v>-798889155.06999993</v>
      </c>
      <c r="G38" s="8">
        <v>54483800.640000001</v>
      </c>
    </row>
    <row r="39" spans="2:7" ht="12.75" customHeight="1" x14ac:dyDescent="0.2">
      <c r="B39" s="305" t="s">
        <v>85</v>
      </c>
      <c r="C39" s="67"/>
      <c r="D39" s="131"/>
      <c r="E39" s="327">
        <v>167118.82999999999</v>
      </c>
      <c r="F39" s="374">
        <f>611309.54+E39</f>
        <v>778428.37</v>
      </c>
      <c r="G39" s="8"/>
    </row>
    <row r="40" spans="2:7" x14ac:dyDescent="0.2">
      <c r="B40" s="305" t="s">
        <v>86</v>
      </c>
      <c r="C40" s="67"/>
      <c r="D40" s="131"/>
      <c r="E40" s="327">
        <v>-327974.51000000007</v>
      </c>
      <c r="F40" s="374">
        <f>-3004730.79+E40</f>
        <v>-3332705.3000000003</v>
      </c>
      <c r="G40" s="8"/>
    </row>
    <row r="41" spans="2:7" x14ac:dyDescent="0.2">
      <c r="B41" s="305" t="s">
        <v>87</v>
      </c>
      <c r="C41" s="67"/>
      <c r="D41" s="131"/>
      <c r="E41" s="327">
        <v>0</v>
      </c>
      <c r="F41" s="374">
        <f>226998+E41</f>
        <v>226998</v>
      </c>
      <c r="G41" s="8"/>
    </row>
    <row r="42" spans="2:7" ht="12.75" customHeight="1" x14ac:dyDescent="0.2">
      <c r="B42" s="305" t="s">
        <v>95</v>
      </c>
      <c r="C42" s="67"/>
      <c r="D42" s="131"/>
      <c r="E42" s="327">
        <v>319794.34000000003</v>
      </c>
      <c r="F42" s="374">
        <f>-1676563.86+E42</f>
        <v>-1356769.52</v>
      </c>
      <c r="G42" s="8"/>
    </row>
    <row r="43" spans="2:7" ht="12.75" customHeight="1" x14ac:dyDescent="0.2">
      <c r="B43" s="305" t="s">
        <v>218</v>
      </c>
      <c r="C43" s="67"/>
      <c r="D43" s="131"/>
      <c r="E43" s="377">
        <v>21497.63</v>
      </c>
      <c r="F43" s="375">
        <f>193478.67+E43</f>
        <v>214976.30000000002</v>
      </c>
      <c r="G43" s="8"/>
    </row>
    <row r="44" spans="2:7" ht="15" thickBot="1" x14ac:dyDescent="0.25">
      <c r="B44" s="300"/>
      <c r="C44" s="132"/>
      <c r="D44" s="133"/>
      <c r="E44" s="328"/>
      <c r="F44" s="306"/>
      <c r="G44" s="8"/>
    </row>
    <row r="45" spans="2:7" ht="15.75" customHeight="1" thickBot="1" x14ac:dyDescent="0.25">
      <c r="B45" s="307" t="s">
        <v>219</v>
      </c>
      <c r="C45" s="134"/>
      <c r="D45" s="135" t="e">
        <f>+#REF!</f>
        <v>#REF!</v>
      </c>
      <c r="E45" s="152">
        <f>SUM(E38:E44)</f>
        <v>22941478.249999996</v>
      </c>
      <c r="F45" s="301">
        <f>SUM(F38:F44)</f>
        <v>-802358227.21999991</v>
      </c>
      <c r="G45" s="8"/>
    </row>
    <row r="46" spans="2:7" ht="15.75" hidden="1" customHeight="1" x14ac:dyDescent="0.25">
      <c r="B46" s="323"/>
      <c r="C46" s="128"/>
      <c r="D46" s="129"/>
      <c r="E46" s="324"/>
      <c r="F46" s="293"/>
      <c r="G46" s="8"/>
    </row>
    <row r="47" spans="2:7" ht="15" hidden="1" thickBot="1" x14ac:dyDescent="0.25">
      <c r="B47" s="303"/>
      <c r="C47" s="86"/>
      <c r="D47" s="130"/>
      <c r="E47" s="130"/>
      <c r="F47" s="295"/>
      <c r="G47" s="8"/>
    </row>
    <row r="48" spans="2:7" ht="15" hidden="1" thickBot="1" x14ac:dyDescent="0.25">
      <c r="B48" s="351" t="s">
        <v>8</v>
      </c>
      <c r="C48" s="86"/>
      <c r="D48" s="130"/>
      <c r="E48" s="130"/>
      <c r="F48" s="295"/>
      <c r="G48" s="8"/>
    </row>
    <row r="49" spans="2:7" ht="15" hidden="1" thickBot="1" x14ac:dyDescent="0.25">
      <c r="B49" s="303"/>
      <c r="C49" s="86"/>
      <c r="D49" s="130"/>
      <c r="E49" s="130"/>
      <c r="F49" s="295"/>
      <c r="G49" s="8"/>
    </row>
    <row r="50" spans="2:7" ht="12.75" hidden="1" customHeight="1" x14ac:dyDescent="0.25">
      <c r="B50" s="275" t="s">
        <v>96</v>
      </c>
      <c r="C50" s="86"/>
      <c r="D50" s="130"/>
      <c r="E50" s="60">
        <v>0</v>
      </c>
      <c r="F50" s="304">
        <v>0</v>
      </c>
      <c r="G50" s="8"/>
    </row>
    <row r="51" spans="2:7" ht="12.75" hidden="1" customHeight="1" x14ac:dyDescent="0.25">
      <c r="B51" s="275" t="s">
        <v>42</v>
      </c>
      <c r="C51" s="86"/>
      <c r="D51" s="130"/>
      <c r="E51" s="349">
        <v>0</v>
      </c>
      <c r="F51" s="304">
        <v>0</v>
      </c>
      <c r="G51" s="8"/>
    </row>
    <row r="52" spans="2:7" ht="12.75" hidden="1" customHeight="1" x14ac:dyDescent="0.25">
      <c r="B52" s="275" t="s">
        <v>105</v>
      </c>
      <c r="C52" s="86"/>
      <c r="D52" s="130"/>
      <c r="E52" s="83">
        <v>0</v>
      </c>
      <c r="F52" s="304">
        <v>0</v>
      </c>
      <c r="G52" s="8"/>
    </row>
    <row r="53" spans="2:7" ht="15" hidden="1" thickBot="1" x14ac:dyDescent="0.25">
      <c r="B53" s="275" t="s">
        <v>132</v>
      </c>
      <c r="C53" s="86"/>
      <c r="D53" s="130"/>
      <c r="E53" s="83">
        <v>0</v>
      </c>
      <c r="F53" s="304">
        <v>0</v>
      </c>
      <c r="G53" s="8"/>
    </row>
    <row r="54" spans="2:7" ht="15" hidden="1" thickBot="1" x14ac:dyDescent="0.25">
      <c r="B54" s="275" t="s">
        <v>125</v>
      </c>
      <c r="C54" s="86"/>
      <c r="D54" s="130"/>
      <c r="E54" s="83">
        <v>0</v>
      </c>
      <c r="F54" s="304">
        <v>0</v>
      </c>
      <c r="G54" s="8"/>
    </row>
    <row r="55" spans="2:7" ht="15" hidden="1" thickBot="1" x14ac:dyDescent="0.25">
      <c r="B55" s="275" t="s">
        <v>99</v>
      </c>
      <c r="C55" s="86"/>
      <c r="D55" s="130"/>
      <c r="E55" s="83">
        <v>0</v>
      </c>
      <c r="F55" s="304">
        <f>+E55</f>
        <v>0</v>
      </c>
      <c r="G55" s="8"/>
    </row>
    <row r="56" spans="2:7" ht="15" hidden="1" thickBot="1" x14ac:dyDescent="0.25">
      <c r="B56" s="300"/>
      <c r="C56" s="132"/>
      <c r="D56" s="133"/>
      <c r="E56" s="133"/>
      <c r="F56" s="306"/>
      <c r="G56" s="8"/>
    </row>
    <row r="57" spans="2:7" ht="15.75" hidden="1" customHeight="1" thickBot="1" x14ac:dyDescent="0.25">
      <c r="B57" s="350" t="s">
        <v>9</v>
      </c>
      <c r="C57" s="136"/>
      <c r="D57" s="137" t="e">
        <f>+#REF!</f>
        <v>#REF!</v>
      </c>
      <c r="E57" s="152">
        <f>SUM(E50:E56)</f>
        <v>0</v>
      </c>
      <c r="F57" s="301">
        <f>SUM(F50:F56)</f>
        <v>0</v>
      </c>
      <c r="G57" s="8"/>
    </row>
    <row r="58" spans="2:7" x14ac:dyDescent="0.2">
      <c r="B58" s="302"/>
      <c r="C58" s="128"/>
      <c r="D58" s="129"/>
      <c r="E58" s="129"/>
      <c r="F58" s="293"/>
      <c r="G58" s="8"/>
    </row>
    <row r="59" spans="2:7" x14ac:dyDescent="0.2">
      <c r="B59" s="303"/>
      <c r="C59" s="86"/>
      <c r="D59" s="130"/>
      <c r="E59" s="130"/>
      <c r="F59" s="295"/>
      <c r="G59" s="8"/>
    </row>
    <row r="60" spans="2:7" x14ac:dyDescent="0.2">
      <c r="B60" s="305" t="s">
        <v>28</v>
      </c>
      <c r="C60" s="67"/>
      <c r="D60" s="131"/>
      <c r="E60" s="126">
        <v>235526101.30000001</v>
      </c>
      <c r="F60" s="308">
        <f>88235061.51+E60</f>
        <v>323761162.81</v>
      </c>
    </row>
    <row r="61" spans="2:7" x14ac:dyDescent="0.2">
      <c r="B61" s="305" t="s">
        <v>97</v>
      </c>
      <c r="C61" s="67"/>
      <c r="D61" s="131"/>
      <c r="E61" s="60">
        <v>458746610.75999999</v>
      </c>
      <c r="F61" s="304">
        <f>472518455.73-102146678.97+139772.49</f>
        <v>370511549.25</v>
      </c>
    </row>
    <row r="62" spans="2:7" ht="15" thickBot="1" x14ac:dyDescent="0.25">
      <c r="B62" s="300"/>
      <c r="C62" s="132"/>
      <c r="D62" s="133"/>
      <c r="E62" s="133" t="s">
        <v>73</v>
      </c>
      <c r="F62" s="362"/>
    </row>
    <row r="63" spans="2:7" ht="18" customHeight="1" thickBot="1" x14ac:dyDescent="0.25">
      <c r="B63" s="316" t="s">
        <v>199</v>
      </c>
      <c r="C63" s="309"/>
      <c r="D63" s="310" t="e">
        <f>+#REF!+#REF!</f>
        <v>#REF!</v>
      </c>
      <c r="E63" s="311">
        <f>SUM(E60:E62)</f>
        <v>694272712.05999994</v>
      </c>
      <c r="F63" s="312">
        <f>SUM(F60:F62)</f>
        <v>694272712.05999994</v>
      </c>
    </row>
    <row r="64" spans="2:7" ht="15" thickTop="1" x14ac:dyDescent="0.2">
      <c r="B64" s="52"/>
      <c r="C64" s="66"/>
      <c r="D64" s="143"/>
      <c r="E64" s="143"/>
      <c r="F64" s="144"/>
    </row>
    <row r="65" spans="2:7" x14ac:dyDescent="0.2">
      <c r="B65" s="52"/>
      <c r="C65" s="66"/>
      <c r="D65" s="143"/>
      <c r="E65" s="143"/>
      <c r="F65" s="144"/>
    </row>
    <row r="66" spans="2:7" x14ac:dyDescent="0.2">
      <c r="B66" s="52"/>
      <c r="C66" s="66"/>
      <c r="D66" s="143"/>
      <c r="E66" s="143"/>
      <c r="F66" s="145"/>
    </row>
    <row r="67" spans="2:7" x14ac:dyDescent="0.2">
      <c r="B67" s="52"/>
      <c r="C67" s="66"/>
      <c r="D67" s="143"/>
      <c r="E67" s="143"/>
      <c r="F67" s="145"/>
    </row>
    <row r="68" spans="2:7" x14ac:dyDescent="0.2">
      <c r="B68" s="344" t="s">
        <v>254</v>
      </c>
      <c r="C68" s="66"/>
      <c r="D68" s="143"/>
      <c r="E68" s="404" t="s">
        <v>212</v>
      </c>
      <c r="F68" s="404"/>
      <c r="G68" s="19"/>
    </row>
    <row r="69" spans="2:7" x14ac:dyDescent="0.2">
      <c r="B69" s="146" t="s">
        <v>255</v>
      </c>
      <c r="C69" s="66"/>
      <c r="D69" s="143"/>
      <c r="E69" s="405" t="s">
        <v>6</v>
      </c>
      <c r="F69" s="405"/>
      <c r="G69" s="19"/>
    </row>
    <row r="70" spans="2:7" x14ac:dyDescent="0.2">
      <c r="C70" s="66"/>
      <c r="D70" s="143"/>
      <c r="E70" s="143"/>
    </row>
    <row r="71" spans="2:7" x14ac:dyDescent="0.2">
      <c r="B71" s="52"/>
      <c r="C71" s="66"/>
      <c r="D71" s="143"/>
      <c r="E71" s="143"/>
      <c r="F71" s="145"/>
    </row>
    <row r="72" spans="2:7" x14ac:dyDescent="0.2">
      <c r="B72" s="345" t="s">
        <v>253</v>
      </c>
      <c r="C72" s="66"/>
      <c r="D72" s="143"/>
      <c r="E72" s="143"/>
      <c r="F72" s="145"/>
    </row>
    <row r="73" spans="2:7" x14ac:dyDescent="0.2">
      <c r="B73" s="403" t="s">
        <v>214</v>
      </c>
      <c r="C73" s="403"/>
      <c r="D73" s="403"/>
      <c r="E73" s="403"/>
      <c r="F73" s="403"/>
    </row>
    <row r="77" spans="2:7" ht="13.5" customHeight="1" x14ac:dyDescent="0.2"/>
    <row r="78" spans="2:7" ht="14.25" customHeight="1" x14ac:dyDescent="0.2"/>
    <row r="79" spans="2:7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2022-12-15T14:27:17Z</cp:lastPrinted>
  <dcterms:created xsi:type="dcterms:W3CDTF">2005-02-18T21:21:25Z</dcterms:created>
  <dcterms:modified xsi:type="dcterms:W3CDTF">2022-12-15T19:22:32Z</dcterms:modified>
</cp:coreProperties>
</file>