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360" yWindow="120" windowWidth="11595" windowHeight="7125" tabRatio="413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1" i="31" l="1"/>
  <c r="F60" i="31"/>
  <c r="F43" i="31"/>
  <c r="F42" i="31"/>
  <c r="F41" i="31"/>
  <c r="F40" i="31"/>
  <c r="F39" i="31"/>
  <c r="F38" i="31"/>
  <c r="F32" i="31"/>
  <c r="F29" i="31"/>
  <c r="F21" i="31"/>
  <c r="F28" i="31"/>
  <c r="F26" i="31"/>
  <c r="F27" i="31"/>
  <c r="F24" i="31"/>
  <c r="F25" i="31"/>
  <c r="F32" i="11"/>
  <c r="F31" i="11"/>
  <c r="F34" i="11" s="1"/>
  <c r="F21" i="11"/>
  <c r="F20" i="11"/>
  <c r="H38" i="10"/>
  <c r="H44" i="10"/>
  <c r="G74" i="23" l="1"/>
  <c r="F52" i="10" l="1"/>
  <c r="D25" i="11" l="1"/>
  <c r="G73" i="23" l="1"/>
  <c r="G71" i="23" l="1"/>
  <c r="G70" i="23" l="1"/>
  <c r="E45" i="31" l="1"/>
  <c r="F45" i="31"/>
  <c r="H36" i="23" l="1"/>
  <c r="G78" i="23" l="1"/>
  <c r="H28" i="23" l="1"/>
  <c r="E63" i="31" l="1"/>
  <c r="G80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D34" i="11"/>
  <c r="F25" i="11"/>
  <c r="F18" i="11"/>
  <c r="F17" i="11"/>
  <c r="I151" i="23"/>
  <c r="H147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I72" i="23"/>
  <c r="G72" i="23"/>
  <c r="G81" i="23" s="1"/>
  <c r="I70" i="23"/>
  <c r="I67" i="23"/>
  <c r="H57" i="23"/>
  <c r="F19" i="10" s="1"/>
  <c r="H50" i="23"/>
  <c r="H42" i="23"/>
  <c r="H22" i="23"/>
  <c r="C9" i="23"/>
  <c r="H52" i="10"/>
  <c r="J47" i="10"/>
  <c r="J54" i="10" s="1"/>
  <c r="F41" i="10"/>
  <c r="F44" i="10" s="1"/>
  <c r="J30" i="10"/>
  <c r="H29" i="10"/>
  <c r="H23" i="10"/>
  <c r="H31" i="10" s="1"/>
  <c r="J22" i="10"/>
  <c r="J31" i="10" s="1"/>
  <c r="L57" i="166"/>
  <c r="L49" i="166"/>
  <c r="L48" i="166"/>
  <c r="L47" i="166"/>
  <c r="L44" i="166"/>
  <c r="F38" i="10" l="1"/>
  <c r="F14" i="10"/>
  <c r="H30" i="23"/>
  <c r="F26" i="10"/>
  <c r="F29" i="10" s="1"/>
  <c r="F46" i="10"/>
  <c r="F42" i="11"/>
  <c r="I81" i="23"/>
  <c r="H44" i="23"/>
  <c r="F40" i="11"/>
  <c r="D40" i="11"/>
  <c r="H46" i="10"/>
  <c r="F54" i="10" l="1"/>
  <c r="D42" i="11"/>
  <c r="F19" i="31"/>
  <c r="F34" i="31" s="1"/>
  <c r="F15" i="10"/>
  <c r="F23" i="10" s="1"/>
  <c r="F31" i="10" s="1"/>
  <c r="H54" i="10"/>
  <c r="E19" i="31" l="1"/>
  <c r="E34" i="31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<sst xmlns="http://schemas.openxmlformats.org/spreadsheetml/2006/main" count="299" uniqueCount="281">
  <si>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</si>
  <si>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</si>
  <si>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</si>
  <si>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</si>
  <si>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</si>
  <si>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</si>
  <si>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</si>
  <si>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</si>
  <si>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</si>
  <si>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</si>
  <si>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</si>
  <si>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</si>
  <si>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</si>
  <si>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</si>
  <si>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</si>
  <si>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</si>
  <si>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</si>
  <si>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</si>
  <si>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</si>
  <si>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</si>
  <si>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</si>
  <si>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</si>
  <si>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</si>
  <si>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</si>
  <si>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</si>
  <si>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</si>
  <si>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</si>
  <si>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</si>
  <si>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</si>
  <si>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</si>
  <si>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</si>
  <si>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</si>
  <si>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</si>
  <si>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</si>
  <si>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</si>
  <si>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</si>
  <si>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</si>
  <si>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</si>
  <si>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</si>
  <si>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</si>
  <si>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</si>
  <si>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</si>
  <si>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</si>
  <si>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</si>
  <si>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</si>
  <si>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</si>
  <si>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</si>
  <si>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</si>
  <si>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</si>
  <si>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</si>
  <si>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</si>
  <si>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</si>
  <si>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</si>
  <si>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</si>
  <si>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</si>
  <si>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</si>
  <si>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</si>
  <si>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</si>
  <si>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</si>
  <si>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</si>
  <si>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</si>
  <si>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</si>
  <si>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</si>
  <si>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</si>
  <si>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</si>
  <si>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</si>
  <si>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</si>
  <si>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</si>
  <si>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</si>
  <si>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</si>
  <si>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</si>
  <si>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</si>
  <si>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</si>
  <si>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</si>
  <si>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</si>
  <si>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</si>
  <si>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</si>
  <si>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</si>
  <si>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</si>
  <si>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</si>
  <si>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</si>
  <si>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</si>
  <si>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</si>
  <si>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</si>
  <si>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</si>
  <si>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</si>
  <si>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</si>
  <si>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</si>
  <si>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</si>
  <si>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</si>
  <si>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</si>
  <si>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</si>
  <si>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</si>
  <si>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</si>
  <si>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</si>
  <si>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</si>
  <si>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</si>
  <si>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</si>
  <si>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</si>
  <si>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</si>
  <si>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</si>
  <si>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</si>
  <si>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</si>
  <si>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</si>
  <si>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</si>
  <si>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</si>
  <si>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</si>
  <si>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</si>
  <si>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</si>
  <si>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</si>
  <si>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</si>
  <si>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</si>
  <si>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</si>
  <si>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</si>
  <si>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</si>
  <si>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</si>
  <si>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</si>
  <si>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</si>
  <si>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</si>
  <si>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</si>
  <si>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</si>
  <si>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</si>
  <si>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</si>
  <si>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</si>
  <si>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</si>
  <si>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</si>
  <si>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</si>
  <si>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</si>
  <si>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</si>
  <si>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</si>
  <si>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</si>
  <si>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</si>
  <si>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</si>
  <si>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</si>
  <si>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</si>
  <si>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</si>
  <si>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</si>
  <si>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</si>
  <si>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</si>
  <si>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</si>
  <si>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</si>
  <si>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</si>
  <si>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</si>
  <si>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</si>
  <si>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</si>
  <si>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</si>
  <si>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</si>
  <si>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</si>
  <si>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</si>
  <si>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</si>
  <si>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</si>
  <si>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</si>
  <si>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</si>
  <si>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</si>
  <si>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</si>
  <si>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</si>
  <si>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</si>
  <si>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</si>
  <si>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</si>
  <si>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</si>
  <si>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</si>
  <si>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</si>
  <si>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</si>
  <si>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</si>
  <si>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</si>
  <si>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</si>
  <si>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</si>
  <si>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</si>
  <si>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</si>
  <si>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</si>
  <si>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</si>
  <si>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</si>
  <si>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</si>
  <si>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</si>
  <si>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</si>
  <si>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</si>
  <si>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</si>
  <si>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</si>
  <si>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</si>
  <si>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</si>
  <si>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</si>
  <si>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</si>
  <si>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</si>
  <si>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</si>
  <si>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</si>
  <si>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</si>
  <si>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</si>
  <si>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</si>
  <si>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</si>
  <si>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</si>
  <si>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</si>
  <si>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</si>
  <si>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</si>
  <si>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</si>
  <si>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</si>
  <si>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</si>
  <si>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</si>
  <si>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</si>
  <si>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</si>
  <si>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</si>
  <si>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</si>
  <si>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</si>
  <si>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</si>
  <si>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</si>
  <si>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</si>
  <si>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</si>
  <si>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</si>
  <si>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</si>
  <si>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</si>
  <si>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</si>
  <si>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</si>
  <si>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</si>
  <si>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</si>
  <si>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</si>
  <si>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</si>
  <si>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</si>
  <si>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</si>
  <si>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</si>
  <si>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</si>
  <si>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</si>
  <si>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</si>
  <si>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</si>
  <si>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</si>
  <si>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</si>
  <si>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</si>
  <si>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</si>
  <si>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</si>
  <si>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</si>
  <si>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</si>
  <si>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</si>
  <si>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</si>
  <si>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</si>
  <si>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</si>
  <si>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</si>
  <si>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</si>
  <si>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</si>
  <si>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</si>
  <si>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</si>
  <si>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</si>
  <si>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</si>
  <si>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</si>
  <si>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</si>
  <si>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</si>
  <si>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</si>
  <si>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</si>
  <si>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</si>
  <si>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</si>
  <si>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</si>
  <si>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</si>
  <si>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</si>
  <si>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</si>
  <si>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</si>
  <si>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</si>
  <si>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</si>
  <si>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</si>
  <si>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</si>
  <si>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</si>
  <si>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</si>
  <si>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</si>
  <si>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</si>
  <si>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</si>
  <si>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</si>
  <si>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</si>
  <si>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</si>
  <si>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</si>
  <si>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</si>
  <si>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</si>
  <si>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</si>
  <si>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</si>
  <si>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</si>
  <si>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</si>
  <si>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</si>
  <si>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Al 28 DE FEBRERO 2022</t>
  </si>
  <si>
    <t>DEL 01 DE ENERO AL 28 DE FEBRERO 2022</t>
  </si>
  <si>
    <t>Febrero</t>
  </si>
  <si>
    <t>AL 28 FEBRERO 2022</t>
  </si>
  <si>
    <t>Al 28 de febrero 2022, ésta cuenta se desglosa como sigue:</t>
  </si>
  <si>
    <t>Las cuentas por pagar proveedores al 28 de febrero del 2022 de la SISALRIL.</t>
  </si>
  <si>
    <t>La cuenta Obligaciones por pagar al 28 de febrero 2022 de la SISALRIL, se desglosan de la siguiente manera:</t>
  </si>
  <si>
    <t>La cuenta Retenciones y Contribuciones por pagar al 28 de febrero del 2022, se desglosan de la siguiente manera:</t>
  </si>
  <si>
    <t>Estos recursos están formados por dos partidas, las cuales una de ella representada por un valor ascendente por RD$710,293,519.00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</si>
</sst>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69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4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0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 applyAlignment="1">
      <alignment horizontal="right"/>
    </xf>
    <xf numFmtId="166" fontId="13" fillId="26" borderId="16" xfId="0" applyNumberFormat="1" applyFont="1" applyFill="1" applyBorder="1" applyAlignment="1">
      <alignment horizontal="right"/>
    </xf>
    <xf numFmtId="164" fontId="13" fillId="26" borderId="16" xfId="35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K26" sqref="K26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7"/>
      <c r="D6" s="387"/>
      <c r="E6" s="387"/>
      <c r="F6" s="387"/>
      <c r="G6" s="387"/>
      <c r="H6" s="387"/>
      <c r="I6" s="387"/>
      <c r="J6" s="388"/>
      <c r="K6" s="27"/>
    </row>
    <row r="7" spans="2:21" x14ac:dyDescent="0.2">
      <c r="B7" s="28"/>
      <c r="C7" s="387" t="s">
        <v>13</v>
      </c>
      <c r="D7" s="387"/>
      <c r="E7" s="387"/>
      <c r="F7" s="387"/>
      <c r="G7" s="387"/>
      <c r="H7" s="387"/>
      <c r="I7" s="387"/>
      <c r="J7" s="388"/>
      <c r="K7" s="27"/>
    </row>
    <row r="8" spans="2:21" x14ac:dyDescent="0.2">
      <c r="B8" s="28"/>
      <c r="C8" s="387" t="s">
        <v>272</v>
      </c>
      <c r="D8" s="387"/>
      <c r="E8" s="387"/>
      <c r="F8" s="387"/>
      <c r="G8" s="387"/>
      <c r="H8" s="387"/>
      <c r="I8" s="387"/>
      <c r="J8" s="388"/>
      <c r="K8" s="27"/>
    </row>
    <row r="9" spans="2:21" x14ac:dyDescent="0.2">
      <c r="B9" s="28"/>
      <c r="C9" s="387"/>
      <c r="D9" s="387"/>
      <c r="E9" s="387"/>
      <c r="F9" s="387"/>
      <c r="G9" s="387"/>
      <c r="H9" s="387"/>
      <c r="I9" s="387"/>
      <c r="J9" s="388"/>
      <c r="K9" s="27"/>
    </row>
    <row r="10" spans="2:21" ht="15" thickBot="1" x14ac:dyDescent="0.25">
      <c r="B10" s="380"/>
      <c r="C10" s="381"/>
      <c r="D10" s="381"/>
      <c r="E10" s="381"/>
      <c r="F10" s="381"/>
      <c r="G10" s="381"/>
      <c r="H10" s="381"/>
      <c r="I10" s="381"/>
      <c r="J10" s="382"/>
      <c r="K10" s="27"/>
    </row>
    <row r="11" spans="2:21" x14ac:dyDescent="0.2">
      <c r="B11" s="72"/>
      <c r="C11" s="78"/>
      <c r="D11" s="76"/>
      <c r="E11" s="76"/>
      <c r="F11" s="76"/>
      <c r="G11" s="76"/>
      <c r="H11" s="76"/>
      <c r="I11" s="76"/>
      <c r="J11" s="77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115</v>
      </c>
      <c r="D13" s="188" t="s">
        <v>238</v>
      </c>
      <c r="E13" s="188"/>
      <c r="F13" s="188"/>
      <c r="G13" s="189"/>
      <c r="H13" s="189"/>
      <c r="I13" s="189"/>
      <c r="J13" s="77"/>
      <c r="K13" s="27"/>
      <c r="M13" s="389"/>
      <c r="N13" s="389"/>
      <c r="O13" s="389"/>
      <c r="P13" s="389"/>
      <c r="Q13" s="389"/>
      <c r="R13" s="389"/>
      <c r="S13" s="389"/>
      <c r="T13" s="389"/>
      <c r="U13" s="389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189" t="s">
        <v>226</v>
      </c>
      <c r="E15" s="189"/>
      <c r="F15" s="189"/>
      <c r="G15" s="189"/>
      <c r="H15" s="189"/>
      <c r="I15" s="189"/>
      <c r="J15" s="77"/>
      <c r="K15" s="27"/>
    </row>
    <row r="16" spans="2:21" ht="15" x14ac:dyDescent="0.2">
      <c r="B16" s="72"/>
      <c r="C16" s="190"/>
      <c r="D16" s="189" t="s">
        <v>225</v>
      </c>
      <c r="E16" s="189"/>
      <c r="F16" s="189"/>
      <c r="G16" s="189"/>
      <c r="H16" s="189"/>
      <c r="I16" s="189"/>
      <c r="J16" s="77"/>
      <c r="K16" s="27"/>
    </row>
    <row r="17" spans="2:12" ht="15" x14ac:dyDescent="0.2">
      <c r="B17" s="72"/>
      <c r="C17" s="190"/>
      <c r="D17" s="189" t="s">
        <v>227</v>
      </c>
      <c r="E17" s="189"/>
      <c r="F17" s="189"/>
      <c r="G17" s="189"/>
      <c r="H17" s="189"/>
      <c r="I17" s="189"/>
      <c r="J17" s="77"/>
      <c r="K17" s="27"/>
    </row>
    <row r="18" spans="2:12" ht="15" x14ac:dyDescent="0.2">
      <c r="B18" s="72"/>
      <c r="C18" s="190"/>
      <c r="D18" s="189" t="s">
        <v>228</v>
      </c>
      <c r="E18" s="189"/>
      <c r="F18" s="189"/>
      <c r="G18" s="189"/>
      <c r="H18" s="186"/>
      <c r="I18" s="189"/>
      <c r="J18" s="77"/>
      <c r="K18" s="27"/>
    </row>
    <row r="19" spans="2:12" ht="15" x14ac:dyDescent="0.2">
      <c r="B19" s="72"/>
      <c r="C19" s="190"/>
      <c r="D19" s="189"/>
      <c r="E19" s="189"/>
      <c r="F19" s="189"/>
      <c r="G19" s="189"/>
      <c r="H19" s="186"/>
      <c r="I19" s="189"/>
      <c r="J19" s="77"/>
      <c r="K19" s="27"/>
    </row>
    <row r="20" spans="2:12" ht="15" x14ac:dyDescent="0.2">
      <c r="B20" s="72"/>
      <c r="C20" s="191"/>
      <c r="D20" s="189" t="s">
        <v>231</v>
      </c>
      <c r="E20" s="192"/>
      <c r="F20" s="189"/>
      <c r="G20" s="189"/>
      <c r="H20" s="193"/>
      <c r="I20" s="189"/>
      <c r="J20" s="77"/>
      <c r="K20" s="27"/>
      <c r="L20" s="35"/>
    </row>
    <row r="21" spans="2:12" ht="15" x14ac:dyDescent="0.2">
      <c r="B21" s="72"/>
      <c r="C21" s="191"/>
      <c r="D21" s="189" t="s">
        <v>232</v>
      </c>
      <c r="E21" s="192"/>
      <c r="F21" s="189"/>
      <c r="G21" s="193"/>
      <c r="H21" s="193"/>
      <c r="I21" s="189"/>
      <c r="J21" s="77"/>
      <c r="K21" s="27"/>
      <c r="L21" s="35"/>
    </row>
    <row r="22" spans="2:12" ht="15" x14ac:dyDescent="0.2">
      <c r="B22" s="72"/>
      <c r="C22" s="191"/>
      <c r="D22" s="189" t="s">
        <v>233</v>
      </c>
      <c r="E22" s="189"/>
      <c r="F22" s="189"/>
      <c r="G22" s="193"/>
      <c r="H22" s="193"/>
      <c r="I22" s="189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48</v>
      </c>
      <c r="D25" s="188" t="s">
        <v>219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239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49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254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47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50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240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51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220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255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  <c r="L44" s="13">
        <f>+H52+H46</f>
        <v>0</v>
      </c>
    </row>
    <row r="45" spans="2:14" ht="15" x14ac:dyDescent="0.2">
      <c r="B45" s="72"/>
      <c r="C45" s="191"/>
      <c r="D45" s="189" t="s">
        <v>222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241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  <c r="L47" s="13">
        <f>+H54-L44</f>
        <v>0</v>
      </c>
    </row>
    <row r="48" spans="2:14" ht="15" x14ac:dyDescent="0.2">
      <c r="B48" s="72"/>
      <c r="C48" s="191"/>
      <c r="D48" s="194" t="s">
        <v>223</v>
      </c>
      <c r="E48" s="194"/>
      <c r="F48" s="194"/>
      <c r="G48" s="193"/>
      <c r="H48" s="193"/>
      <c r="I48" s="194"/>
      <c r="J48" s="77"/>
      <c r="K48" s="27"/>
      <c r="L48" s="13">
        <f>+L47-H39</f>
        <v>0</v>
      </c>
    </row>
    <row r="49" spans="2:13" ht="15" x14ac:dyDescent="0.2">
      <c r="B49" s="72"/>
      <c r="C49" s="191"/>
      <c r="D49" s="189" t="s">
        <v>224</v>
      </c>
      <c r="E49" s="192"/>
      <c r="F49" s="194"/>
      <c r="G49" s="193"/>
      <c r="H49" s="193"/>
      <c r="I49" s="193"/>
      <c r="J49" s="77"/>
      <c r="K49" s="27"/>
      <c r="L49" s="13">
        <f>+H33+H39</f>
        <v>0</v>
      </c>
    </row>
    <row r="50" spans="2:13" ht="15" x14ac:dyDescent="0.2">
      <c r="B50" s="72"/>
      <c r="C50" s="191"/>
      <c r="D50" s="194" t="s">
        <v>242</v>
      </c>
      <c r="E50" s="194"/>
      <c r="F50" s="194"/>
      <c r="G50" s="193"/>
      <c r="H50" s="193"/>
      <c r="I50" s="193"/>
      <c r="J50" s="77"/>
      <c r="K50" s="27"/>
      <c r="L50" s="7"/>
    </row>
    <row r="51" spans="2:13" ht="15" x14ac:dyDescent="0.2">
      <c r="B51" s="72"/>
      <c r="C51" s="191"/>
      <c r="D51" s="189" t="s">
        <v>52</v>
      </c>
      <c r="E51" s="194"/>
      <c r="F51" s="194"/>
      <c r="G51" s="193"/>
      <c r="H51" s="193"/>
      <c r="I51" s="194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53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229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230</v>
      </c>
      <c r="E57" s="187"/>
      <c r="F57" s="189"/>
      <c r="G57" s="193"/>
      <c r="H57" s="199"/>
      <c r="I57" s="194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221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251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252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253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  <c r="L65" s="13">
        <v>1577007.7</v>
      </c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237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234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243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54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258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 t="s">
        <v>259</v>
      </c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235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260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261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244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236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L165"/>
  <sheetViews>
    <sheetView tabSelected="1" zoomScale="120" zoomScaleNormal="120" workbookViewId="0">
      <selection activeCell="K23" sqref="K23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6384" width="11.42578125" style="1"/>
  </cols>
  <sheetData>
    <row r="2" spans="3:11" ht="15.75" thickBot="1" x14ac:dyDescent="0.25"/>
    <row r="3" spans="3:11" ht="15.75" thickTop="1" x14ac:dyDescent="0.2">
      <c r="C3" s="263"/>
      <c r="D3" s="264"/>
      <c r="E3" s="264"/>
      <c r="F3" s="264"/>
      <c r="G3" s="264"/>
      <c r="H3" s="264"/>
      <c r="I3" s="264"/>
      <c r="J3" s="264"/>
      <c r="K3" s="265"/>
    </row>
    <row r="4" spans="3:11" x14ac:dyDescent="0.2">
      <c r="C4" s="266"/>
      <c r="D4" s="396"/>
      <c r="E4" s="396"/>
      <c r="F4" s="396"/>
      <c r="G4" s="396"/>
      <c r="H4" s="396"/>
      <c r="I4" s="396"/>
      <c r="J4" s="396"/>
      <c r="K4" s="267"/>
    </row>
    <row r="5" spans="3:11" x14ac:dyDescent="0.2">
      <c r="C5" s="266"/>
      <c r="D5" s="396"/>
      <c r="E5" s="396"/>
      <c r="F5" s="396"/>
      <c r="G5" s="396"/>
      <c r="H5" s="396"/>
      <c r="I5" s="396"/>
      <c r="J5" s="396"/>
      <c r="K5" s="267"/>
    </row>
    <row r="6" spans="3:11" x14ac:dyDescent="0.2">
      <c r="C6" s="390" t="s">
        <v>190</v>
      </c>
      <c r="D6" s="391"/>
      <c r="E6" s="391"/>
      <c r="F6" s="391"/>
      <c r="G6" s="391"/>
      <c r="H6" s="391"/>
      <c r="I6" s="391"/>
      <c r="J6" s="391"/>
      <c r="K6" s="392"/>
    </row>
    <row r="7" spans="3:11" x14ac:dyDescent="0.2">
      <c r="C7" s="390" t="s">
        <v>275</v>
      </c>
      <c r="D7" s="391"/>
      <c r="E7" s="391"/>
      <c r="F7" s="391"/>
      <c r="G7" s="391"/>
      <c r="H7" s="391"/>
      <c r="I7" s="391"/>
      <c r="J7" s="391"/>
      <c r="K7" s="392"/>
    </row>
    <row r="8" spans="3:11" x14ac:dyDescent="0.2">
      <c r="C8" s="390" t="s">
        <v>167</v>
      </c>
      <c r="D8" s="391"/>
      <c r="E8" s="391"/>
      <c r="F8" s="391"/>
      <c r="G8" s="391"/>
      <c r="H8" s="391"/>
      <c r="I8" s="391"/>
      <c r="J8" s="391"/>
      <c r="K8" s="392"/>
    </row>
    <row r="9" spans="3:11" ht="15.75" thickBot="1" x14ac:dyDescent="0.25">
      <c r="C9" s="393"/>
      <c r="D9" s="394"/>
      <c r="E9" s="394"/>
      <c r="F9" s="394"/>
      <c r="G9" s="394"/>
      <c r="H9" s="394"/>
      <c r="I9" s="394"/>
      <c r="J9" s="394"/>
      <c r="K9" s="395"/>
    </row>
    <row r="10" spans="3:11" ht="6" customHeight="1" x14ac:dyDescent="0.2">
      <c r="C10" s="268"/>
      <c r="D10" s="220"/>
      <c r="E10" s="220"/>
      <c r="F10" s="220"/>
      <c r="G10" s="220"/>
      <c r="H10" s="220"/>
      <c r="I10" s="220"/>
      <c r="J10" s="220"/>
      <c r="K10" s="269"/>
    </row>
    <row r="11" spans="3:11" ht="18.600000000000001" customHeight="1" x14ac:dyDescent="0.2">
      <c r="C11" s="268"/>
      <c r="D11" s="51" t="s">
        <v>171</v>
      </c>
      <c r="E11" s="221"/>
      <c r="F11" s="319">
        <v>2022</v>
      </c>
      <c r="G11" s="222"/>
      <c r="H11" s="319">
        <v>2021</v>
      </c>
      <c r="I11" s="218"/>
      <c r="J11" s="222" t="s">
        <v>60</v>
      </c>
      <c r="K11" s="270"/>
    </row>
    <row r="12" spans="3:11" ht="3.6" customHeight="1" x14ac:dyDescent="0.2">
      <c r="C12" s="268"/>
      <c r="D12" s="221"/>
      <c r="E12" s="221"/>
      <c r="F12" s="218"/>
      <c r="G12" s="222"/>
      <c r="H12" s="222"/>
      <c r="I12" s="218"/>
      <c r="J12" s="222"/>
      <c r="K12" s="270"/>
    </row>
    <row r="13" spans="3:11" ht="15.6" customHeight="1" x14ac:dyDescent="0.2">
      <c r="C13" s="268"/>
      <c r="D13" s="59" t="s">
        <v>21</v>
      </c>
      <c r="E13" s="218"/>
      <c r="F13" s="218"/>
      <c r="G13" s="218"/>
      <c r="H13" s="223"/>
      <c r="I13" s="218"/>
      <c r="J13" s="218"/>
      <c r="K13" s="270"/>
    </row>
    <row r="14" spans="3:11" x14ac:dyDescent="0.2">
      <c r="C14" s="268"/>
      <c r="D14" s="218" t="s">
        <v>22</v>
      </c>
      <c r="E14" s="218"/>
      <c r="F14" s="339">
        <f>+'NOTAS   '!H22+'NOTAS   '!H28</f>
        <v>48000205</v>
      </c>
      <c r="G14" s="218"/>
      <c r="H14" s="339">
        <v>59121153</v>
      </c>
      <c r="I14" s="218"/>
      <c r="J14" s="225">
        <v>1462536.8</v>
      </c>
      <c r="K14" s="270"/>
    </row>
    <row r="15" spans="3:11" x14ac:dyDescent="0.2">
      <c r="C15" s="268"/>
      <c r="D15" s="218" t="s">
        <v>262</v>
      </c>
      <c r="E15" s="218"/>
      <c r="F15" s="339">
        <f>+'NOTAS   '!H44</f>
        <v>710293519.25999999</v>
      </c>
      <c r="G15" s="218"/>
      <c r="H15" s="339">
        <v>279719190.47000003</v>
      </c>
      <c r="I15" s="218"/>
      <c r="J15" s="225"/>
      <c r="K15" s="270"/>
    </row>
    <row r="16" spans="3:11" x14ac:dyDescent="0.2">
      <c r="C16" s="268"/>
      <c r="D16" s="218" t="s">
        <v>23</v>
      </c>
      <c r="E16" s="218"/>
      <c r="F16" s="339">
        <v>2797749</v>
      </c>
      <c r="G16" s="218"/>
      <c r="H16" s="339">
        <v>2797749</v>
      </c>
      <c r="I16" s="218"/>
      <c r="J16" s="225"/>
      <c r="K16" s="270"/>
    </row>
    <row r="17" spans="3:11" x14ac:dyDescent="0.2">
      <c r="C17" s="268"/>
      <c r="D17" s="218" t="s">
        <v>46</v>
      </c>
      <c r="E17" s="218"/>
      <c r="F17" s="339">
        <v>641063.82999999996</v>
      </c>
      <c r="G17" s="218"/>
      <c r="H17" s="339">
        <v>864044.15999999968</v>
      </c>
      <c r="I17" s="218"/>
      <c r="J17" s="225"/>
      <c r="K17" s="270"/>
    </row>
    <row r="18" spans="3:11" x14ac:dyDescent="0.2">
      <c r="C18" s="268"/>
      <c r="D18" s="218" t="s">
        <v>180</v>
      </c>
      <c r="E18" s="218"/>
      <c r="F18" s="339">
        <v>2329427.86</v>
      </c>
      <c r="G18" s="227"/>
      <c r="H18" s="339">
        <v>1452787.88</v>
      </c>
      <c r="I18" s="218"/>
      <c r="J18" s="227"/>
      <c r="K18" s="270"/>
    </row>
    <row r="19" spans="3:11" x14ac:dyDescent="0.2">
      <c r="C19" s="268"/>
      <c r="D19" s="218" t="s">
        <v>24</v>
      </c>
      <c r="E19" s="218"/>
      <c r="F19" s="339">
        <f>+'NOTAS   '!H57</f>
        <v>4503132</v>
      </c>
      <c r="G19" s="227"/>
      <c r="H19" s="339">
        <v>6194417.5600000005</v>
      </c>
      <c r="I19" s="218"/>
      <c r="J19" s="227"/>
      <c r="K19" s="270"/>
    </row>
    <row r="20" spans="3:11" x14ac:dyDescent="0.2">
      <c r="C20" s="268"/>
      <c r="D20" s="218" t="s">
        <v>62</v>
      </c>
      <c r="E20" s="218"/>
      <c r="F20" s="339">
        <v>262026446</v>
      </c>
      <c r="G20" s="227"/>
      <c r="H20" s="339">
        <v>178974907.34999999</v>
      </c>
      <c r="I20" s="218"/>
      <c r="J20" s="227"/>
      <c r="K20" s="270"/>
    </row>
    <row r="21" spans="3:11" x14ac:dyDescent="0.2">
      <c r="C21" s="268"/>
      <c r="D21" s="218" t="s">
        <v>25</v>
      </c>
      <c r="E21" s="218"/>
      <c r="F21" s="339">
        <v>158249014.33000001</v>
      </c>
      <c r="G21" s="227"/>
      <c r="H21" s="339">
        <v>121500000</v>
      </c>
      <c r="I21" s="218"/>
      <c r="J21" s="227"/>
      <c r="K21" s="270"/>
    </row>
    <row r="22" spans="3:11" x14ac:dyDescent="0.2">
      <c r="C22" s="268"/>
      <c r="D22" s="218" t="s">
        <v>63</v>
      </c>
      <c r="E22" s="218"/>
      <c r="F22" s="340">
        <v>121500000</v>
      </c>
      <c r="G22" s="218"/>
      <c r="H22" s="340">
        <v>161300000</v>
      </c>
      <c r="I22" s="218"/>
      <c r="J22" s="225">
        <f>SUM(J19:J20)</f>
        <v>0</v>
      </c>
      <c r="K22" s="270"/>
    </row>
    <row r="23" spans="3:11" x14ac:dyDescent="0.2">
      <c r="C23" s="268"/>
      <c r="D23" s="185" t="s">
        <v>204</v>
      </c>
      <c r="E23" s="218"/>
      <c r="F23" s="55">
        <f>SUM(F14:F22)</f>
        <v>1310340557.28</v>
      </c>
      <c r="G23" s="218"/>
      <c r="H23" s="262">
        <f>SUM(H14:H22)</f>
        <v>811924249.42000008</v>
      </c>
      <c r="I23" s="218"/>
      <c r="J23" s="218"/>
      <c r="K23" s="270"/>
    </row>
    <row r="24" spans="3:11" x14ac:dyDescent="0.2">
      <c r="C24" s="268"/>
      <c r="D24" s="318"/>
      <c r="E24" s="218"/>
      <c r="F24" s="223"/>
      <c r="G24" s="218"/>
      <c r="H24" s="224"/>
      <c r="I24" s="218"/>
      <c r="J24" s="218"/>
      <c r="K24" s="270"/>
    </row>
    <row r="25" spans="3:11" x14ac:dyDescent="0.2">
      <c r="C25" s="268"/>
      <c r="D25" s="51" t="s">
        <v>29</v>
      </c>
      <c r="E25" s="218"/>
      <c r="F25" s="218"/>
      <c r="G25" s="228"/>
      <c r="H25" s="229"/>
      <c r="I25" s="218"/>
      <c r="J25" s="227">
        <v>399912.37</v>
      </c>
      <c r="K25" s="270"/>
    </row>
    <row r="26" spans="3:11" x14ac:dyDescent="0.2">
      <c r="C26" s="268"/>
      <c r="D26" s="218" t="s">
        <v>26</v>
      </c>
      <c r="E26" s="226"/>
      <c r="F26" s="219">
        <f>+'NOTAS   '!G81</f>
        <v>486294837.84000003</v>
      </c>
      <c r="G26" s="218"/>
      <c r="H26" s="219">
        <v>479444767.24000001</v>
      </c>
      <c r="I26" s="218"/>
      <c r="J26" s="227"/>
      <c r="K26" s="270"/>
    </row>
    <row r="27" spans="3:11" ht="14.45" customHeight="1" x14ac:dyDescent="0.2">
      <c r="C27" s="268"/>
      <c r="D27" s="218" t="s">
        <v>186</v>
      </c>
      <c r="E27" s="218"/>
      <c r="F27" s="234">
        <f>-'NOTAS   '!H81</f>
        <v>-159535412.05000001</v>
      </c>
      <c r="G27" s="218"/>
      <c r="H27" s="234">
        <v>-147794976.97</v>
      </c>
      <c r="I27" s="218"/>
      <c r="J27" s="227"/>
      <c r="K27" s="270"/>
    </row>
    <row r="28" spans="3:11" ht="13.9" customHeight="1" x14ac:dyDescent="0.2">
      <c r="C28" s="268"/>
      <c r="D28" s="218" t="s">
        <v>183</v>
      </c>
      <c r="E28" s="218"/>
      <c r="F28" s="232">
        <v>607392</v>
      </c>
      <c r="G28" s="218"/>
      <c r="H28" s="330">
        <v>507392.04</v>
      </c>
      <c r="I28" s="218"/>
      <c r="J28" s="227"/>
      <c r="K28" s="270"/>
    </row>
    <row r="29" spans="3:11" ht="17.25" customHeight="1" x14ac:dyDescent="0.2">
      <c r="C29" s="268"/>
      <c r="D29" s="185" t="s">
        <v>205</v>
      </c>
      <c r="E29" s="230"/>
      <c r="F29" s="216">
        <f>SUM(F26:F28)</f>
        <v>327366817.79000002</v>
      </c>
      <c r="G29" s="218"/>
      <c r="H29" s="262">
        <f>SUM(H26:H28)</f>
        <v>332157182.31</v>
      </c>
      <c r="I29" s="218"/>
      <c r="J29" s="227"/>
      <c r="K29" s="270"/>
    </row>
    <row r="30" spans="3:11" ht="17.25" customHeight="1" x14ac:dyDescent="0.2">
      <c r="C30" s="268"/>
      <c r="D30" s="218"/>
      <c r="E30" s="218"/>
      <c r="F30" s="218"/>
      <c r="G30" s="218"/>
      <c r="H30" s="224"/>
      <c r="I30" s="218"/>
      <c r="J30" s="225">
        <f>SUM(J25:J25)</f>
        <v>399912.37</v>
      </c>
      <c r="K30" s="270"/>
    </row>
    <row r="31" spans="3:11" ht="16.149999999999999" customHeight="1" thickBot="1" x14ac:dyDescent="0.25">
      <c r="C31" s="268"/>
      <c r="D31" s="185" t="s">
        <v>37</v>
      </c>
      <c r="E31" s="218"/>
      <c r="F31" s="175">
        <f>+F29+F23</f>
        <v>1637707375.0699999</v>
      </c>
      <c r="G31" s="317"/>
      <c r="H31" s="175">
        <f>+H23+H29-1</f>
        <v>1144081430.73</v>
      </c>
      <c r="I31" s="218"/>
      <c r="J31" s="233">
        <f>+J14+J22+J30</f>
        <v>1862449.17</v>
      </c>
      <c r="K31" s="270"/>
    </row>
    <row r="32" spans="3:11" ht="10.9" customHeight="1" thickTop="1" x14ac:dyDescent="0.2">
      <c r="C32" s="268"/>
      <c r="D32" s="218"/>
      <c r="E32" s="218"/>
      <c r="F32" s="218"/>
      <c r="G32" s="218"/>
      <c r="H32" s="225"/>
      <c r="I32" s="218"/>
      <c r="J32" s="218"/>
      <c r="K32" s="270"/>
    </row>
    <row r="33" spans="3:12" ht="16.899999999999999" customHeight="1" x14ac:dyDescent="0.2">
      <c r="C33" s="268"/>
      <c r="D33" s="51" t="s">
        <v>28</v>
      </c>
      <c r="E33" s="218"/>
      <c r="F33" s="327"/>
      <c r="G33" s="227"/>
      <c r="H33" s="223"/>
      <c r="I33" s="218"/>
      <c r="J33" s="232">
        <v>-9259239.8100000005</v>
      </c>
      <c r="K33" s="270"/>
    </row>
    <row r="34" spans="3:12" ht="17.45" customHeight="1" x14ac:dyDescent="0.2">
      <c r="C34" s="268"/>
      <c r="D34" s="226" t="s">
        <v>34</v>
      </c>
      <c r="E34" s="218"/>
      <c r="F34" s="225"/>
      <c r="G34" s="218"/>
      <c r="H34" s="218"/>
      <c r="I34" s="218"/>
      <c r="J34" s="227"/>
      <c r="K34" s="270"/>
    </row>
    <row r="35" spans="3:12" ht="12.6" customHeight="1" x14ac:dyDescent="0.2">
      <c r="C35" s="271"/>
      <c r="D35" s="218" t="s">
        <v>32</v>
      </c>
      <c r="E35" s="226"/>
      <c r="F35" s="235">
        <f>+'NOTAS   '!H120</f>
        <v>16769809.300000001</v>
      </c>
      <c r="G35" s="218"/>
      <c r="H35" s="235">
        <v>3721721.4499999997</v>
      </c>
      <c r="I35" s="218"/>
      <c r="J35" s="218"/>
      <c r="K35" s="270"/>
    </row>
    <row r="36" spans="3:12" ht="13.9" customHeight="1" x14ac:dyDescent="0.2">
      <c r="C36" s="271"/>
      <c r="D36" s="218" t="s">
        <v>31</v>
      </c>
      <c r="E36" s="226"/>
      <c r="F36" s="235">
        <f>+'NOTAS   '!H147</f>
        <v>44320994.409999996</v>
      </c>
      <c r="G36" s="222"/>
      <c r="H36" s="235">
        <v>37197479.439999998</v>
      </c>
      <c r="I36" s="218"/>
      <c r="J36" s="222" t="s">
        <v>60</v>
      </c>
      <c r="K36" s="270"/>
    </row>
    <row r="37" spans="3:12" ht="12.6" customHeight="1" x14ac:dyDescent="0.2">
      <c r="C37" s="271"/>
      <c r="D37" s="218" t="s">
        <v>122</v>
      </c>
      <c r="E37" s="226"/>
      <c r="F37" s="383">
        <v>65939.55</v>
      </c>
      <c r="G37" s="222"/>
      <c r="H37" s="236">
        <v>18767.009999999998</v>
      </c>
      <c r="I37" s="218"/>
      <c r="J37" s="222"/>
      <c r="K37" s="270"/>
    </row>
    <row r="38" spans="3:12" ht="15" customHeight="1" x14ac:dyDescent="0.2">
      <c r="C38" s="271"/>
      <c r="D38" s="185" t="s">
        <v>202</v>
      </c>
      <c r="E38" s="218"/>
      <c r="F38" s="55">
        <f>SUM(F35:F37)</f>
        <v>61156743.25999999</v>
      </c>
      <c r="G38" s="227"/>
      <c r="H38" s="138">
        <f>SUM(H35:H37)-1</f>
        <v>40937966.899999999</v>
      </c>
      <c r="I38" s="218"/>
      <c r="J38" s="227"/>
      <c r="K38" s="270"/>
      <c r="L38" s="140"/>
    </row>
    <row r="39" spans="3:12" ht="12" customHeight="1" x14ac:dyDescent="0.2">
      <c r="C39" s="271"/>
      <c r="D39" s="218"/>
      <c r="E39" s="218"/>
      <c r="F39" s="218"/>
      <c r="G39" s="227"/>
      <c r="H39" s="227"/>
      <c r="I39" s="218"/>
      <c r="J39" s="227"/>
      <c r="K39" s="270"/>
      <c r="L39" s="140"/>
    </row>
    <row r="40" spans="3:12" x14ac:dyDescent="0.2">
      <c r="C40" s="271"/>
      <c r="D40" s="51" t="s">
        <v>33</v>
      </c>
      <c r="E40" s="218"/>
      <c r="F40" s="218"/>
      <c r="G40" s="227"/>
      <c r="H40" s="227"/>
      <c r="I40" s="218"/>
      <c r="J40" s="227"/>
      <c r="K40" s="270"/>
      <c r="L40" s="140"/>
    </row>
    <row r="41" spans="3:12" x14ac:dyDescent="0.2">
      <c r="C41" s="271"/>
      <c r="D41" s="218" t="s">
        <v>30</v>
      </c>
      <c r="E41" s="226"/>
      <c r="F41" s="235">
        <f>+'NOTAS   '!H127</f>
        <v>870270986.79999995</v>
      </c>
      <c r="G41" s="227"/>
      <c r="H41" s="227">
        <v>397496979.54000002</v>
      </c>
      <c r="I41" s="218"/>
      <c r="J41" s="227"/>
      <c r="K41" s="270"/>
      <c r="L41" s="140"/>
    </row>
    <row r="42" spans="3:12" ht="12.6" customHeight="1" x14ac:dyDescent="0.2">
      <c r="C42" s="271"/>
      <c r="D42" s="218" t="s">
        <v>156</v>
      </c>
      <c r="E42" s="226"/>
      <c r="F42" s="235">
        <v>3129421</v>
      </c>
      <c r="G42" s="227"/>
      <c r="H42" s="227">
        <v>3860283.86</v>
      </c>
      <c r="I42" s="218"/>
      <c r="J42" s="227"/>
      <c r="K42" s="270"/>
      <c r="L42" s="140"/>
    </row>
    <row r="43" spans="3:12" ht="13.5" customHeight="1" x14ac:dyDescent="0.2">
      <c r="C43" s="271"/>
      <c r="D43" s="218" t="s">
        <v>157</v>
      </c>
      <c r="E43" s="226"/>
      <c r="F43" s="236">
        <v>116700000</v>
      </c>
      <c r="G43" s="227"/>
      <c r="H43" s="232">
        <v>161300000</v>
      </c>
      <c r="I43" s="218"/>
      <c r="J43" s="227"/>
      <c r="K43" s="270"/>
      <c r="L43" s="140"/>
    </row>
    <row r="44" spans="3:12" ht="14.45" customHeight="1" x14ac:dyDescent="0.2">
      <c r="C44" s="271"/>
      <c r="D44" s="185" t="s">
        <v>191</v>
      </c>
      <c r="E44" s="218"/>
      <c r="F44" s="374">
        <f>SUM(F41:F43)</f>
        <v>990100407.79999995</v>
      </c>
      <c r="G44" s="227"/>
      <c r="H44" s="55">
        <f>SUM(H41:H43)+1</f>
        <v>562657264.4000001</v>
      </c>
      <c r="I44" s="218"/>
      <c r="J44" s="227"/>
      <c r="K44" s="270"/>
      <c r="L44" s="140"/>
    </row>
    <row r="45" spans="3:12" ht="6.6" customHeight="1" x14ac:dyDescent="0.2">
      <c r="C45" s="271"/>
      <c r="D45" s="318"/>
      <c r="E45" s="218"/>
      <c r="F45" s="223"/>
      <c r="G45" s="227"/>
      <c r="H45" s="246"/>
      <c r="I45" s="218"/>
      <c r="J45" s="227"/>
      <c r="K45" s="270"/>
      <c r="L45" s="140"/>
    </row>
    <row r="46" spans="3:12" ht="18.75" customHeight="1" thickBot="1" x14ac:dyDescent="0.25">
      <c r="C46" s="271"/>
      <c r="D46" s="185" t="s">
        <v>38</v>
      </c>
      <c r="E46" s="230"/>
      <c r="F46" s="249">
        <f>+F38+F44</f>
        <v>1051257151.0599999</v>
      </c>
      <c r="G46" s="227"/>
      <c r="H46" s="249">
        <f>+H38+H44</f>
        <v>603595231.30000007</v>
      </c>
      <c r="I46" s="218"/>
      <c r="J46" s="227"/>
      <c r="K46" s="270"/>
      <c r="L46" s="140"/>
    </row>
    <row r="47" spans="3:12" ht="10.9" customHeight="1" thickTop="1" x14ac:dyDescent="0.2">
      <c r="C47" s="271"/>
      <c r="D47" s="247"/>
      <c r="E47" s="218"/>
      <c r="F47" s="218"/>
      <c r="G47" s="225"/>
      <c r="H47" s="231"/>
      <c r="I47" s="218"/>
      <c r="J47" s="225" t="e">
        <f>+#REF!+#REF!+#REF!</f>
        <v>#REF!</v>
      </c>
      <c r="K47" s="270"/>
      <c r="L47" s="140"/>
    </row>
    <row r="48" spans="3:12" ht="13.9" customHeight="1" x14ac:dyDescent="0.2">
      <c r="C48" s="271"/>
      <c r="D48" s="59" t="s">
        <v>192</v>
      </c>
      <c r="E48" s="218"/>
      <c r="F48" s="227"/>
      <c r="G48" s="227"/>
      <c r="H48" s="218"/>
      <c r="I48" s="218"/>
      <c r="J48" s="218"/>
      <c r="K48" s="270"/>
      <c r="L48" s="140"/>
    </row>
    <row r="49" spans="3:12" x14ac:dyDescent="0.2">
      <c r="C49" s="271"/>
      <c r="D49" s="218" t="s">
        <v>43</v>
      </c>
      <c r="E49" s="218"/>
      <c r="F49" s="219">
        <v>94403309</v>
      </c>
      <c r="G49" s="227"/>
      <c r="H49" s="219">
        <v>101467632</v>
      </c>
      <c r="I49" s="218"/>
      <c r="J49" s="232">
        <v>53367236.979999997</v>
      </c>
      <c r="K49" s="270"/>
      <c r="L49" s="140"/>
    </row>
    <row r="50" spans="3:12" x14ac:dyDescent="0.2">
      <c r="C50" s="271"/>
      <c r="D50" s="218" t="s">
        <v>193</v>
      </c>
      <c r="E50" s="218"/>
      <c r="F50" s="219">
        <v>493552610</v>
      </c>
      <c r="G50" s="227"/>
      <c r="H50" s="219">
        <v>425794585.93000001</v>
      </c>
      <c r="I50" s="218"/>
      <c r="J50" s="227"/>
      <c r="K50" s="270"/>
      <c r="L50" s="140"/>
    </row>
    <row r="51" spans="3:12" x14ac:dyDescent="0.2">
      <c r="C51" s="271"/>
      <c r="D51" s="218" t="s">
        <v>35</v>
      </c>
      <c r="E51" s="218"/>
      <c r="F51" s="376">
        <v>-1505695.46</v>
      </c>
      <c r="G51" s="227"/>
      <c r="H51" s="323">
        <v>13223982.24</v>
      </c>
      <c r="I51" s="218"/>
      <c r="J51" s="227"/>
      <c r="K51" s="270"/>
    </row>
    <row r="52" spans="3:12" x14ac:dyDescent="0.2">
      <c r="C52" s="271"/>
      <c r="D52" s="185" t="s">
        <v>44</v>
      </c>
      <c r="E52" s="218"/>
      <c r="F52" s="254">
        <f>SUM(F49:F51)</f>
        <v>586450223.53999996</v>
      </c>
      <c r="G52" s="227"/>
      <c r="H52" s="320">
        <f>SUM(H49:H51)</f>
        <v>540486200.16999996</v>
      </c>
      <c r="I52" s="218"/>
      <c r="J52" s="227"/>
      <c r="K52" s="270"/>
    </row>
    <row r="53" spans="3:12" x14ac:dyDescent="0.2">
      <c r="C53" s="271"/>
      <c r="D53" s="218"/>
      <c r="E53" s="218"/>
      <c r="F53" s="227"/>
      <c r="G53" s="227"/>
      <c r="H53" s="227"/>
      <c r="I53" s="218"/>
      <c r="J53" s="218"/>
      <c r="K53" s="270"/>
    </row>
    <row r="54" spans="3:12" ht="15.75" thickBot="1" x14ac:dyDescent="0.25">
      <c r="C54" s="271"/>
      <c r="D54" s="185" t="s">
        <v>45</v>
      </c>
      <c r="E54" s="217"/>
      <c r="F54" s="175">
        <f>+F52+F46</f>
        <v>1637707374.5999999</v>
      </c>
      <c r="G54" s="63"/>
      <c r="H54" s="175">
        <f>+H52+H46</f>
        <v>1144081431.47</v>
      </c>
      <c r="I54" s="218"/>
      <c r="J54" s="233" t="e">
        <f>SUM(J47:J49)</f>
        <v>#REF!</v>
      </c>
      <c r="K54" s="270"/>
    </row>
    <row r="55" spans="3:12" ht="16.5" thickTop="1" thickBot="1" x14ac:dyDescent="0.25">
      <c r="C55" s="272"/>
      <c r="D55" s="273"/>
      <c r="E55" s="273"/>
      <c r="F55" s="273"/>
      <c r="G55" s="274"/>
      <c r="H55" s="274" t="s">
        <v>72</v>
      </c>
      <c r="I55" s="275"/>
      <c r="J55" s="275"/>
      <c r="K55" s="276"/>
    </row>
    <row r="56" spans="3:12" ht="15.75" thickTop="1" x14ac:dyDescent="0.2">
      <c r="C56" s="50"/>
      <c r="D56" s="217"/>
      <c r="E56" s="217"/>
      <c r="F56" s="248"/>
      <c r="G56" s="218"/>
      <c r="H56" s="223"/>
      <c r="I56" s="218"/>
      <c r="J56" s="232">
        <v>-5348157.34</v>
      </c>
      <c r="K56" s="218"/>
    </row>
    <row r="57" spans="3:12" x14ac:dyDescent="0.2">
      <c r="C57" s="50"/>
      <c r="D57" s="217"/>
      <c r="E57" s="217"/>
      <c r="F57" s="324"/>
      <c r="G57" s="324"/>
      <c r="H57" s="324"/>
      <c r="I57" s="218"/>
      <c r="J57" s="227"/>
      <c r="K57" s="218"/>
    </row>
    <row r="58" spans="3:12" x14ac:dyDescent="0.2">
      <c r="C58" s="50"/>
      <c r="D58" s="217"/>
      <c r="E58" s="217"/>
      <c r="F58" s="248"/>
      <c r="G58" s="248"/>
      <c r="H58" s="248"/>
      <c r="I58" s="218"/>
      <c r="J58" s="227"/>
      <c r="K58" s="218"/>
    </row>
    <row r="59" spans="3:12" x14ac:dyDescent="0.2">
      <c r="C59" s="250"/>
      <c r="D59" s="247"/>
      <c r="E59" s="247"/>
      <c r="F59" s="251"/>
      <c r="G59" s="247"/>
      <c r="H59" s="252"/>
      <c r="I59" s="247"/>
      <c r="J59" s="247"/>
      <c r="K59" s="247"/>
      <c r="L59" s="140"/>
    </row>
    <row r="60" spans="3:12" x14ac:dyDescent="0.2">
      <c r="C60" s="18"/>
      <c r="D60" s="346" t="s">
        <v>268</v>
      </c>
      <c r="E60" s="238"/>
      <c r="F60" s="346"/>
      <c r="G60" s="347" t="s">
        <v>211</v>
      </c>
      <c r="H60" s="347"/>
      <c r="I60" s="238"/>
      <c r="J60" s="238"/>
      <c r="K60" s="238"/>
      <c r="L60" s="140"/>
    </row>
    <row r="61" spans="3:12" x14ac:dyDescent="0.2">
      <c r="C61" s="6"/>
      <c r="D61" s="15" t="s">
        <v>269</v>
      </c>
      <c r="E61" s="239"/>
      <c r="F61" s="397" t="s">
        <v>36</v>
      </c>
      <c r="G61" s="397"/>
      <c r="H61" s="397"/>
      <c r="I61" s="240"/>
      <c r="J61" s="240"/>
      <c r="K61" s="241"/>
      <c r="L61" s="141"/>
    </row>
    <row r="62" spans="3:12" x14ac:dyDescent="0.2">
      <c r="C62" s="18"/>
      <c r="D62" s="238"/>
      <c r="E62" s="238"/>
      <c r="F62" s="238"/>
      <c r="G62" s="238"/>
      <c r="H62" s="238"/>
      <c r="I62" s="238"/>
      <c r="J62" s="238"/>
      <c r="K62" s="238"/>
      <c r="L62" s="140"/>
    </row>
    <row r="63" spans="3:12" x14ac:dyDescent="0.2">
      <c r="C63" s="18"/>
      <c r="D63" s="238"/>
      <c r="E63" s="238"/>
      <c r="F63" s="238"/>
      <c r="G63" s="238"/>
      <c r="H63" s="238"/>
      <c r="I63" s="238"/>
      <c r="J63" s="238"/>
      <c r="K63" s="238"/>
      <c r="L63" s="140"/>
    </row>
    <row r="64" spans="3:12" x14ac:dyDescent="0.2">
      <c r="C64" s="18"/>
      <c r="D64" s="237"/>
      <c r="E64" s="238"/>
      <c r="F64" s="238"/>
      <c r="G64" s="238"/>
      <c r="H64" s="238"/>
      <c r="I64" s="238"/>
      <c r="J64" s="238"/>
      <c r="K64" s="238"/>
      <c r="L64" s="140"/>
    </row>
    <row r="65" spans="3:12" x14ac:dyDescent="0.2">
      <c r="C65" s="18"/>
      <c r="D65" s="348" t="s">
        <v>265</v>
      </c>
      <c r="E65" s="349"/>
      <c r="F65" s="349"/>
      <c r="G65" s="253"/>
      <c r="H65" s="253"/>
      <c r="I65" s="253"/>
      <c r="J65" s="253"/>
      <c r="K65" s="238"/>
      <c r="L65" s="140"/>
    </row>
    <row r="66" spans="3:12" x14ac:dyDescent="0.2">
      <c r="C66" s="18"/>
      <c r="D66" s="259" t="s">
        <v>270</v>
      </c>
      <c r="E66" s="242"/>
      <c r="F66" s="242"/>
      <c r="G66" s="242"/>
      <c r="H66" s="238"/>
      <c r="I66" s="242"/>
      <c r="J66" s="242"/>
      <c r="K66" s="238"/>
    </row>
    <row r="67" spans="3:12" x14ac:dyDescent="0.2">
      <c r="C67" s="17"/>
      <c r="D67" s="237"/>
      <c r="E67" s="237"/>
      <c r="F67" s="237"/>
      <c r="G67" s="237"/>
      <c r="H67" s="243"/>
      <c r="I67" s="237"/>
      <c r="J67" s="237"/>
      <c r="K67" s="237"/>
    </row>
    <row r="68" spans="3:12" x14ac:dyDescent="0.2">
      <c r="C68" s="17"/>
      <c r="D68" s="237"/>
      <c r="E68" s="237"/>
      <c r="F68" s="178"/>
      <c r="G68" s="237"/>
      <c r="H68" s="243"/>
      <c r="I68" s="237"/>
      <c r="J68" s="237"/>
      <c r="K68" s="237"/>
    </row>
    <row r="69" spans="3:12" x14ac:dyDescent="0.2">
      <c r="C69" s="17"/>
      <c r="D69" s="243"/>
      <c r="E69" s="237"/>
      <c r="F69" s="178"/>
      <c r="G69" s="237"/>
      <c r="H69" s="237"/>
      <c r="I69" s="237"/>
      <c r="J69" s="237"/>
      <c r="K69" s="237"/>
    </row>
    <row r="70" spans="3:12" x14ac:dyDescent="0.2">
      <c r="C70" s="17"/>
      <c r="D70" s="243"/>
      <c r="E70" s="237"/>
      <c r="F70" s="178"/>
      <c r="G70" s="237"/>
      <c r="H70" s="243"/>
      <c r="I70" s="237"/>
      <c r="J70" s="237"/>
      <c r="K70" s="237"/>
    </row>
    <row r="71" spans="3:12" x14ac:dyDescent="0.2">
      <c r="C71" s="17"/>
      <c r="D71" s="243"/>
      <c r="E71" s="237"/>
      <c r="F71" s="180"/>
      <c r="G71" s="237"/>
      <c r="H71" s="238"/>
      <c r="I71" s="237"/>
      <c r="J71" s="237"/>
      <c r="K71" s="237"/>
      <c r="L71" s="141"/>
    </row>
    <row r="72" spans="3:12" x14ac:dyDescent="0.2">
      <c r="C72" s="17"/>
      <c r="D72" s="244"/>
      <c r="E72" s="237"/>
      <c r="F72" s="178"/>
      <c r="G72" s="237"/>
      <c r="H72" s="243"/>
      <c r="I72" s="237"/>
      <c r="J72" s="237"/>
      <c r="K72" s="237"/>
      <c r="L72" s="141"/>
    </row>
    <row r="73" spans="3:12" x14ac:dyDescent="0.2">
      <c r="C73" s="17"/>
      <c r="D73" s="243"/>
      <c r="E73" s="237"/>
      <c r="F73" s="179"/>
      <c r="G73" s="237"/>
      <c r="H73" s="178"/>
      <c r="I73" s="237"/>
      <c r="J73" s="237"/>
      <c r="K73" s="237"/>
      <c r="L73" s="140"/>
    </row>
    <row r="74" spans="3:12" x14ac:dyDescent="0.2">
      <c r="C74" s="17"/>
      <c r="D74" s="237"/>
      <c r="E74" s="237"/>
      <c r="F74" s="178"/>
      <c r="G74" s="237"/>
      <c r="H74" s="243"/>
      <c r="I74" s="237"/>
      <c r="J74" s="237"/>
      <c r="K74" s="237"/>
      <c r="L74" s="140"/>
    </row>
    <row r="75" spans="3:12" x14ac:dyDescent="0.2">
      <c r="C75" s="17"/>
      <c r="D75" s="237"/>
      <c r="E75" s="237"/>
      <c r="F75" s="178"/>
      <c r="G75" s="237"/>
      <c r="H75" s="178"/>
      <c r="I75" s="237"/>
      <c r="J75" s="237"/>
      <c r="K75" s="237"/>
      <c r="L75" s="140"/>
    </row>
    <row r="76" spans="3:12" x14ac:dyDescent="0.2">
      <c r="C76" s="17"/>
      <c r="D76" s="237"/>
      <c r="E76" s="237"/>
      <c r="F76" s="178"/>
      <c r="G76" s="237"/>
      <c r="H76" s="178"/>
      <c r="I76" s="237"/>
      <c r="J76" s="237"/>
      <c r="K76" s="237"/>
      <c r="L76" s="140"/>
    </row>
    <row r="77" spans="3:12" x14ac:dyDescent="0.2">
      <c r="C77" s="17"/>
      <c r="D77" s="237"/>
      <c r="E77" s="237"/>
      <c r="F77" s="178"/>
      <c r="G77" s="237"/>
      <c r="H77" s="178"/>
      <c r="I77" s="237"/>
      <c r="J77" s="237"/>
      <c r="K77" s="237"/>
      <c r="L77" s="140"/>
    </row>
    <row r="78" spans="3:12" s="2" customFormat="1" x14ac:dyDescent="0.2">
      <c r="C78" s="17"/>
      <c r="D78" s="237"/>
      <c r="E78" s="237"/>
      <c r="F78" s="178"/>
      <c r="G78" s="237"/>
      <c r="H78" s="178"/>
      <c r="I78" s="237"/>
      <c r="J78" s="237"/>
      <c r="K78" s="237"/>
      <c r="L78" s="4"/>
    </row>
    <row r="79" spans="3:12" customFormat="1" x14ac:dyDescent="0.2">
      <c r="C79" s="17"/>
      <c r="D79" s="237"/>
      <c r="E79" s="237"/>
      <c r="F79" s="178"/>
      <c r="G79" s="237"/>
      <c r="H79" s="180"/>
      <c r="I79" s="237"/>
      <c r="J79" s="237"/>
      <c r="K79" s="237"/>
      <c r="L79" s="4"/>
    </row>
    <row r="80" spans="3:12" customFormat="1" ht="15" customHeight="1" x14ac:dyDescent="0.2">
      <c r="C80" s="17"/>
      <c r="D80" s="237"/>
      <c r="E80" s="237"/>
      <c r="F80" s="180"/>
      <c r="G80" s="237"/>
      <c r="H80" s="178"/>
      <c r="I80" s="237"/>
      <c r="J80" s="237"/>
      <c r="K80" s="237"/>
      <c r="L80" s="142"/>
    </row>
    <row r="81" spans="3:12" s="2" customFormat="1" x14ac:dyDescent="0.2">
      <c r="C81" s="17"/>
      <c r="D81" s="237"/>
      <c r="E81" s="237"/>
      <c r="F81" s="178"/>
      <c r="G81" s="237"/>
      <c r="H81" s="243"/>
      <c r="I81" s="237"/>
      <c r="J81" s="237"/>
      <c r="K81" s="237"/>
      <c r="L81" s="4"/>
    </row>
    <row r="82" spans="3:12" s="2" customFormat="1" x14ac:dyDescent="0.2">
      <c r="C82" s="17"/>
      <c r="D82" s="237"/>
      <c r="E82" s="237"/>
      <c r="F82" s="179"/>
      <c r="G82" s="237"/>
      <c r="H82" s="245"/>
      <c r="I82" s="237"/>
      <c r="J82" s="237"/>
      <c r="K82" s="237"/>
      <c r="L82" s="4"/>
    </row>
    <row r="83" spans="3:12" s="2" customFormat="1" x14ac:dyDescent="0.2">
      <c r="C83" s="17"/>
      <c r="D83" s="237"/>
      <c r="E83" s="237"/>
      <c r="F83" s="178"/>
      <c r="G83" s="237"/>
      <c r="H83" s="245"/>
      <c r="I83" s="237"/>
      <c r="J83" s="237"/>
      <c r="K83" s="237"/>
      <c r="L83" s="4"/>
    </row>
    <row r="84" spans="3:12" s="2" customFormat="1" x14ac:dyDescent="0.2">
      <c r="C84" s="17"/>
      <c r="D84" s="237"/>
      <c r="E84" s="237"/>
      <c r="F84" s="178"/>
      <c r="G84" s="237"/>
      <c r="H84" s="237"/>
      <c r="I84" s="237"/>
      <c r="J84" s="237"/>
      <c r="K84" s="237"/>
      <c r="L84" s="4"/>
    </row>
    <row r="85" spans="3:12" x14ac:dyDescent="0.2">
      <c r="C85" s="17"/>
      <c r="D85" s="237"/>
      <c r="E85" s="237"/>
      <c r="F85" s="178"/>
      <c r="G85" s="237"/>
      <c r="H85" s="237"/>
      <c r="I85" s="237"/>
      <c r="J85" s="237"/>
      <c r="K85" s="237"/>
    </row>
    <row r="86" spans="3:12" x14ac:dyDescent="0.2">
      <c r="C86" s="17"/>
      <c r="D86" s="237"/>
      <c r="E86" s="237"/>
      <c r="F86" s="243"/>
      <c r="G86" s="237"/>
      <c r="H86" s="237"/>
      <c r="I86" s="237"/>
      <c r="J86" s="237"/>
      <c r="K86" s="237"/>
    </row>
    <row r="87" spans="3:12" x14ac:dyDescent="0.2">
      <c r="C87" s="17"/>
      <c r="D87" s="237"/>
      <c r="E87" s="237"/>
      <c r="F87" s="243"/>
      <c r="G87" s="237"/>
      <c r="H87" s="237"/>
      <c r="I87" s="237"/>
      <c r="J87" s="237"/>
      <c r="K87" s="237"/>
    </row>
    <row r="88" spans="3:12" x14ac:dyDescent="0.2">
      <c r="C88" s="17"/>
      <c r="D88" s="237"/>
      <c r="E88" s="237"/>
      <c r="F88" s="237"/>
      <c r="G88" s="237"/>
      <c r="H88" s="237"/>
      <c r="I88" s="237"/>
      <c r="J88" s="237"/>
      <c r="K88" s="237"/>
    </row>
    <row r="89" spans="3:12" x14ac:dyDescent="0.2">
      <c r="C89" s="17"/>
      <c r="D89" s="237"/>
      <c r="E89" s="237"/>
      <c r="F89" s="237"/>
      <c r="G89" s="237"/>
      <c r="H89" s="237"/>
      <c r="I89" s="237"/>
      <c r="J89" s="237"/>
      <c r="K89" s="237"/>
    </row>
    <row r="90" spans="3:12" x14ac:dyDescent="0.2">
      <c r="C90" s="17"/>
      <c r="D90" s="237"/>
      <c r="E90" s="237"/>
      <c r="F90" s="237"/>
      <c r="G90" s="237"/>
      <c r="H90" s="237"/>
      <c r="I90" s="237"/>
      <c r="J90" s="237"/>
      <c r="K90" s="237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F61:H61"/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1"/>
  <sheetViews>
    <sheetView zoomScale="110" zoomScaleNormal="110" zoomScaleSheetLayoutView="75" workbookViewId="0">
      <selection activeCell="M3" sqref="M3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7"/>
      <c r="D6" s="387"/>
      <c r="E6" s="387"/>
      <c r="F6" s="387"/>
      <c r="G6" s="387"/>
      <c r="H6" s="387"/>
      <c r="I6" s="387"/>
      <c r="J6" s="388"/>
      <c r="K6" s="27"/>
    </row>
    <row r="7" spans="2:11" x14ac:dyDescent="0.2">
      <c r="B7" s="28"/>
      <c r="C7" s="387" t="s">
        <v>97</v>
      </c>
      <c r="D7" s="387"/>
      <c r="E7" s="387"/>
      <c r="F7" s="387"/>
      <c r="G7" s="387"/>
      <c r="H7" s="387"/>
      <c r="I7" s="387"/>
      <c r="J7" s="388"/>
      <c r="K7" s="27"/>
    </row>
    <row r="8" spans="2:11" x14ac:dyDescent="0.2">
      <c r="B8" s="28"/>
      <c r="C8" s="387" t="str">
        <f>+RESULTADOS!B10</f>
        <v>DEL 01 DE ENERO AL 28 DE FEBRERO 2022</v>
      </c>
      <c r="D8" s="387"/>
      <c r="E8" s="387"/>
      <c r="F8" s="387"/>
      <c r="G8" s="387"/>
      <c r="H8" s="387"/>
      <c r="I8" s="387"/>
      <c r="J8" s="388"/>
      <c r="K8" s="27"/>
    </row>
    <row r="9" spans="2:11" x14ac:dyDescent="0.2">
      <c r="B9" s="28"/>
      <c r="C9" s="387" t="str">
        <f>+'SITUACION '!C8:K8</f>
        <v>(Valores en RD$)</v>
      </c>
      <c r="D9" s="387"/>
      <c r="E9" s="387"/>
      <c r="F9" s="387"/>
      <c r="G9" s="387"/>
      <c r="H9" s="387"/>
      <c r="I9" s="387"/>
      <c r="J9" s="388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115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280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105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102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70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69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139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162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99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100</v>
      </c>
      <c r="E25" s="76"/>
      <c r="F25" s="76"/>
      <c r="G25" s="126">
        <v>40196049</v>
      </c>
      <c r="H25" s="67"/>
      <c r="I25" s="67"/>
      <c r="J25" s="77"/>
      <c r="K25" s="27"/>
    </row>
    <row r="26" spans="2:11" x14ac:dyDescent="0.2">
      <c r="B26" s="72"/>
      <c r="C26" s="79"/>
      <c r="D26" s="76" t="s">
        <v>101</v>
      </c>
      <c r="E26" s="76"/>
      <c r="F26" s="66"/>
      <c r="G26" s="60">
        <v>454705</v>
      </c>
      <c r="H26" s="67"/>
      <c r="I26" s="67"/>
      <c r="J26" s="77"/>
      <c r="K26" s="27"/>
    </row>
    <row r="27" spans="2:11" x14ac:dyDescent="0.2">
      <c r="B27" s="72"/>
      <c r="C27" s="79"/>
      <c r="D27" s="76" t="s">
        <v>110</v>
      </c>
      <c r="E27" s="67"/>
      <c r="F27" s="67"/>
      <c r="G27" s="60">
        <v>4679230</v>
      </c>
      <c r="H27" s="60"/>
      <c r="I27" s="76"/>
      <c r="J27" s="77"/>
      <c r="K27" s="27"/>
    </row>
    <row r="28" spans="2:11" x14ac:dyDescent="0.2">
      <c r="B28" s="72"/>
      <c r="C28" s="79"/>
      <c r="D28" s="76" t="s">
        <v>111</v>
      </c>
      <c r="E28" s="76"/>
      <c r="F28" s="67"/>
      <c r="G28" s="65">
        <v>2520221</v>
      </c>
      <c r="H28" s="65">
        <f>SUM(G25:G28)</f>
        <v>47850205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</f>
        <v>48000205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153</v>
      </c>
      <c r="E32" s="76"/>
      <c r="F32" s="76"/>
      <c r="G32" s="60">
        <v>6610960.1399999997</v>
      </c>
      <c r="H32" s="60"/>
      <c r="I32" s="60"/>
      <c r="J32" s="77"/>
      <c r="K32" s="27"/>
    </row>
    <row r="33" spans="2:11" x14ac:dyDescent="0.2">
      <c r="B33" s="72"/>
      <c r="C33" s="79"/>
      <c r="D33" s="76" t="s">
        <v>58</v>
      </c>
      <c r="E33" s="76"/>
      <c r="F33" s="76"/>
      <c r="G33" s="60">
        <v>695076530.77999997</v>
      </c>
      <c r="I33" s="60"/>
      <c r="J33" s="77"/>
      <c r="K33" s="27"/>
    </row>
    <row r="34" spans="2:11" x14ac:dyDescent="0.2">
      <c r="B34" s="72"/>
      <c r="C34" s="79"/>
      <c r="D34" s="76" t="s">
        <v>137</v>
      </c>
      <c r="E34" s="76"/>
      <c r="F34" s="76"/>
      <c r="G34" s="60">
        <v>2448317.92</v>
      </c>
      <c r="H34" s="60"/>
      <c r="I34" s="60"/>
      <c r="J34" s="77"/>
      <c r="K34" s="27"/>
    </row>
    <row r="35" spans="2:11" x14ac:dyDescent="0.2">
      <c r="B35" s="72"/>
      <c r="C35" s="79"/>
      <c r="D35" s="76" t="s">
        <v>136</v>
      </c>
      <c r="F35" s="76"/>
      <c r="G35" s="60">
        <v>2385928.13</v>
      </c>
      <c r="H35" s="60"/>
      <c r="I35" s="60"/>
      <c r="J35" s="308"/>
      <c r="K35" s="27"/>
    </row>
    <row r="36" spans="2:11" x14ac:dyDescent="0.2">
      <c r="B36" s="72"/>
      <c r="C36" s="79"/>
      <c r="D36" s="76" t="s">
        <v>67</v>
      </c>
      <c r="E36" s="67"/>
      <c r="F36" s="76"/>
      <c r="G36" s="65">
        <v>2917369.85</v>
      </c>
      <c r="H36" s="65">
        <f>SUM(G32:G36)</f>
        <v>709439106.81999993</v>
      </c>
      <c r="I36" s="60"/>
      <c r="J36" s="77"/>
      <c r="K36" s="27"/>
    </row>
    <row r="37" spans="2:11" hidden="1" x14ac:dyDescent="0.2">
      <c r="B37" s="72"/>
      <c r="C37" s="79"/>
      <c r="D37" s="76" t="s">
        <v>66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140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142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152</v>
      </c>
      <c r="E41" s="67"/>
      <c r="F41" s="67"/>
      <c r="G41" s="60">
        <v>46178.100000001497</v>
      </c>
      <c r="H41" s="60"/>
      <c r="I41" s="66"/>
      <c r="J41" s="77"/>
      <c r="K41" s="27"/>
    </row>
    <row r="42" spans="2:11" x14ac:dyDescent="0.2">
      <c r="B42" s="72"/>
      <c r="C42" s="79"/>
      <c r="D42" s="67" t="s">
        <v>141</v>
      </c>
      <c r="E42" s="66"/>
      <c r="F42" s="67"/>
      <c r="G42" s="65">
        <v>808234.34</v>
      </c>
      <c r="H42" s="65">
        <f>SUM(G41:G42)</f>
        <v>854412.44000000146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143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710293519.25999999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178</v>
      </c>
      <c r="D46" s="74" t="s">
        <v>125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308"/>
      <c r="K47" s="27"/>
    </row>
    <row r="48" spans="2:11" x14ac:dyDescent="0.2">
      <c r="B48" s="72"/>
      <c r="C48" s="73"/>
      <c r="D48" s="76" t="s">
        <v>118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179</v>
      </c>
      <c r="D51" s="74" t="s">
        <v>119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121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145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145</v>
      </c>
      <c r="E55" s="76"/>
      <c r="F55" s="76"/>
      <c r="G55" s="76"/>
      <c r="H55" s="83">
        <v>2095532</v>
      </c>
      <c r="I55" s="76"/>
      <c r="J55" s="77"/>
      <c r="K55" s="27"/>
    </row>
    <row r="56" spans="2:11" x14ac:dyDescent="0.2">
      <c r="B56" s="72"/>
      <c r="C56" s="78"/>
      <c r="D56" s="76" t="s">
        <v>201</v>
      </c>
      <c r="E56" s="76"/>
      <c r="F56" s="76"/>
      <c r="G56" s="76"/>
      <c r="H56" s="373">
        <v>2407600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4503132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90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181</v>
      </c>
      <c r="D62" s="89" t="s">
        <v>276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398" t="s">
        <v>171</v>
      </c>
      <c r="E64" s="160"/>
      <c r="F64" s="161"/>
      <c r="G64" s="398" t="s">
        <v>172</v>
      </c>
      <c r="H64" s="160" t="s">
        <v>113</v>
      </c>
      <c r="I64" s="162" t="s">
        <v>173</v>
      </c>
      <c r="J64" s="77"/>
      <c r="K64" s="27"/>
    </row>
    <row r="65" spans="1:11" ht="15" thickBot="1" x14ac:dyDescent="0.25">
      <c r="B65" s="72"/>
      <c r="C65" s="163"/>
      <c r="D65" s="399"/>
      <c r="E65" s="96"/>
      <c r="F65" s="97"/>
      <c r="G65" s="399"/>
      <c r="H65" s="96" t="s">
        <v>174</v>
      </c>
      <c r="I65" s="164" t="s">
        <v>175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176</v>
      </c>
      <c r="D67" s="76"/>
      <c r="E67" s="76"/>
      <c r="F67" s="67"/>
      <c r="G67" s="60">
        <v>179178600</v>
      </c>
      <c r="H67" s="61"/>
      <c r="I67" s="166">
        <f>+G67</f>
        <v>179178600</v>
      </c>
      <c r="J67" s="77"/>
      <c r="K67" s="27"/>
    </row>
    <row r="68" spans="1:11" ht="14.25" customHeight="1" x14ac:dyDescent="0.2">
      <c r="B68" s="72"/>
      <c r="C68" s="167" t="s">
        <v>177</v>
      </c>
      <c r="D68" s="76"/>
      <c r="E68" s="76"/>
      <c r="F68" s="67"/>
      <c r="G68" s="335">
        <v>90440344.430000007</v>
      </c>
      <c r="H68" s="61">
        <v>30589527.039999999</v>
      </c>
      <c r="I68" s="166">
        <f>+G68-H68</f>
        <v>59850817.390000008</v>
      </c>
      <c r="J68" s="77"/>
      <c r="K68" s="27"/>
    </row>
    <row r="69" spans="1:11" ht="14.25" hidden="1" customHeight="1" x14ac:dyDescent="0.2">
      <c r="B69" s="72"/>
      <c r="C69" s="344" t="s">
        <v>206</v>
      </c>
      <c r="D69" s="76"/>
      <c r="E69" s="76"/>
      <c r="F69" s="67"/>
      <c r="G69" s="335">
        <v>0</v>
      </c>
      <c r="H69" s="61"/>
      <c r="I69" s="166">
        <v>0</v>
      </c>
      <c r="J69" s="77"/>
      <c r="K69" s="27"/>
    </row>
    <row r="70" spans="1:11" ht="14.25" customHeight="1" x14ac:dyDescent="0.2">
      <c r="B70" s="72"/>
      <c r="C70" s="344" t="s">
        <v>249</v>
      </c>
      <c r="D70" s="76"/>
      <c r="E70" s="76"/>
      <c r="F70" s="67"/>
      <c r="G70" s="335">
        <f>56134209+328417.6</f>
        <v>56462626.600000001</v>
      </c>
      <c r="H70" s="61"/>
      <c r="I70" s="166">
        <f>+G70</f>
        <v>56462626.600000001</v>
      </c>
      <c r="J70" s="77"/>
      <c r="K70" s="27"/>
    </row>
    <row r="71" spans="1:11" ht="14.25" customHeight="1" x14ac:dyDescent="0.2">
      <c r="B71" s="72"/>
      <c r="C71" s="344" t="s">
        <v>207</v>
      </c>
      <c r="D71" s="76"/>
      <c r="E71" s="76"/>
      <c r="F71" s="67"/>
      <c r="G71" s="335">
        <f>8646000</f>
        <v>8646000</v>
      </c>
      <c r="H71" s="61"/>
      <c r="I71" s="166">
        <v>8646000</v>
      </c>
      <c r="J71" s="77"/>
      <c r="K71" s="27"/>
    </row>
    <row r="72" spans="1:11" ht="14.25" customHeight="1" x14ac:dyDescent="0.2">
      <c r="B72" s="72"/>
      <c r="C72" s="344" t="s">
        <v>210</v>
      </c>
      <c r="D72" s="76"/>
      <c r="E72" s="76"/>
      <c r="F72" s="67"/>
      <c r="G72" s="335">
        <f>203095.19</f>
        <v>203095.19</v>
      </c>
      <c r="H72" s="61"/>
      <c r="I72" s="166">
        <f>+G72</f>
        <v>203095.19</v>
      </c>
      <c r="J72" s="77"/>
      <c r="K72" s="27"/>
    </row>
    <row r="73" spans="1:11" x14ac:dyDescent="0.2">
      <c r="A73" s="8"/>
      <c r="B73" s="72"/>
      <c r="C73" s="344" t="s">
        <v>148</v>
      </c>
      <c r="D73" s="76"/>
      <c r="E73" s="76"/>
      <c r="F73" s="326"/>
      <c r="G73" s="335">
        <f>17037922.94+50521.7+703922.4+768180</f>
        <v>18560547.039999999</v>
      </c>
      <c r="H73" s="61">
        <v>16884357.899999999</v>
      </c>
      <c r="I73" s="166">
        <f>+G73-H73</f>
        <v>1676189.1400000006</v>
      </c>
      <c r="J73" s="77"/>
      <c r="K73" s="27"/>
    </row>
    <row r="74" spans="1:11" ht="15.75" customHeight="1" x14ac:dyDescent="0.2">
      <c r="B74" s="72"/>
      <c r="C74" s="344" t="s">
        <v>74</v>
      </c>
      <c r="D74" s="76"/>
      <c r="E74" s="76"/>
      <c r="F74" s="67"/>
      <c r="G74" s="335">
        <f>35108624.62+1670724.48+76287+119475+187620+137721.34</f>
        <v>37300452.439999998</v>
      </c>
      <c r="H74" s="61">
        <v>32594206.77</v>
      </c>
      <c r="I74" s="166">
        <f>+G74-H74</f>
        <v>4706245.6699999981</v>
      </c>
      <c r="J74" s="77"/>
      <c r="K74" s="27"/>
    </row>
    <row r="75" spans="1:11" x14ac:dyDescent="0.2">
      <c r="A75" s="8"/>
      <c r="B75" s="72"/>
      <c r="C75" s="344" t="s">
        <v>40</v>
      </c>
      <c r="D75" s="76"/>
      <c r="E75" s="76"/>
      <c r="F75" s="67"/>
      <c r="G75" s="335">
        <v>6702331.7299999995</v>
      </c>
      <c r="H75" s="61">
        <v>3116651.79</v>
      </c>
      <c r="I75" s="166">
        <f>+G75-H75</f>
        <v>3585679.9399999995</v>
      </c>
      <c r="J75" s="77"/>
      <c r="K75" s="27"/>
    </row>
    <row r="76" spans="1:11" hidden="1" x14ac:dyDescent="0.2">
      <c r="A76" s="8"/>
      <c r="B76" s="72"/>
      <c r="C76" s="344" t="s">
        <v>161</v>
      </c>
      <c r="D76" s="76"/>
      <c r="E76" s="76"/>
      <c r="F76" s="67"/>
      <c r="G76" s="335">
        <v>0</v>
      </c>
      <c r="H76" s="61">
        <f>+H722</f>
        <v>0</v>
      </c>
      <c r="I76" s="166">
        <v>0</v>
      </c>
      <c r="J76" s="77"/>
      <c r="K76" s="27"/>
    </row>
    <row r="77" spans="1:11" hidden="1" x14ac:dyDescent="0.2">
      <c r="A77" s="8"/>
      <c r="B77" s="72"/>
      <c r="C77" s="344" t="s">
        <v>42</v>
      </c>
      <c r="D77" s="76"/>
      <c r="E77" s="76"/>
      <c r="F77" s="67"/>
      <c r="G77" s="335">
        <v>0</v>
      </c>
      <c r="H77" s="61">
        <v>0</v>
      </c>
      <c r="I77" s="166">
        <v>0</v>
      </c>
      <c r="J77" s="77"/>
      <c r="K77" s="27"/>
    </row>
    <row r="78" spans="1:11" x14ac:dyDescent="0.2">
      <c r="B78" s="72"/>
      <c r="C78" s="344" t="s">
        <v>166</v>
      </c>
      <c r="D78" s="76"/>
      <c r="E78" s="76"/>
      <c r="F78" s="67"/>
      <c r="G78" s="335">
        <f>20523891.97-782546.82-1</f>
        <v>19741344.149999999</v>
      </c>
      <c r="H78" s="61">
        <v>19552930.02</v>
      </c>
      <c r="I78" s="166">
        <f>+G78-H78</f>
        <v>188414.12999999896</v>
      </c>
      <c r="J78" s="77"/>
      <c r="K78" s="27"/>
    </row>
    <row r="79" spans="1:11" x14ac:dyDescent="0.2">
      <c r="B79" s="72"/>
      <c r="C79" s="167" t="s">
        <v>91</v>
      </c>
      <c r="D79" s="76"/>
      <c r="E79" s="76"/>
      <c r="F79" s="67"/>
      <c r="G79" s="335">
        <v>51359484.789999999</v>
      </c>
      <c r="H79" s="61">
        <v>47810980.759999998</v>
      </c>
      <c r="I79" s="166">
        <f>+G79-H79</f>
        <v>3548504.0300000012</v>
      </c>
      <c r="J79" s="77"/>
      <c r="K79" s="27"/>
    </row>
    <row r="80" spans="1:11" x14ac:dyDescent="0.2">
      <c r="B80" s="72"/>
      <c r="C80" s="167" t="s">
        <v>132</v>
      </c>
      <c r="D80" s="76"/>
      <c r="E80" s="76"/>
      <c r="F80" s="67"/>
      <c r="G80" s="343">
        <f>17605611.47+94400</f>
        <v>17700011.469999999</v>
      </c>
      <c r="H80" s="98">
        <v>8986757.7699999996</v>
      </c>
      <c r="I80" s="166">
        <f>+G80-H80</f>
        <v>8713253.6999999993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486294837.84000003</v>
      </c>
      <c r="H81" s="99">
        <f>SUM(H68:H80)</f>
        <v>159535412.05000001</v>
      </c>
      <c r="I81" s="170">
        <f>SUM(I67:I80)</f>
        <v>326759425.79000002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247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215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248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245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246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56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170</v>
      </c>
      <c r="D93" s="59" t="s">
        <v>57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171</v>
      </c>
      <c r="E95" s="103" t="s">
        <v>92</v>
      </c>
      <c r="F95" s="103" t="s">
        <v>159</v>
      </c>
      <c r="G95" s="103" t="s">
        <v>160</v>
      </c>
      <c r="H95" s="150" t="s">
        <v>55</v>
      </c>
      <c r="I95" s="104" t="s">
        <v>214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165</v>
      </c>
      <c r="E98" s="181">
        <v>97238880</v>
      </c>
      <c r="F98" s="105">
        <v>83697100</v>
      </c>
      <c r="G98" s="105">
        <v>-30801220</v>
      </c>
      <c r="H98" s="61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184</v>
      </c>
      <c r="E99" s="181">
        <v>70888238</v>
      </c>
      <c r="F99" s="105">
        <v>15435455</v>
      </c>
      <c r="G99" s="61">
        <v>28381266</v>
      </c>
      <c r="H99" s="98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185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377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171</v>
      </c>
      <c r="E102" s="104" t="s">
        <v>187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378"/>
      <c r="J103" s="101"/>
    </row>
    <row r="104" spans="2:10" ht="14.25" customHeight="1" x14ac:dyDescent="0.2">
      <c r="B104" s="100"/>
      <c r="C104" s="54"/>
      <c r="D104" s="54" t="s">
        <v>165</v>
      </c>
      <c r="E104" s="353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184</v>
      </c>
      <c r="E105" s="353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185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36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36"/>
      <c r="F108" s="354"/>
      <c r="G108" s="183"/>
      <c r="H108" s="86"/>
      <c r="I108" s="63"/>
      <c r="J108" s="106"/>
    </row>
    <row r="109" spans="2:10" x14ac:dyDescent="0.2">
      <c r="B109" s="100"/>
      <c r="C109" s="59" t="s">
        <v>208</v>
      </c>
      <c r="D109" s="337" t="s">
        <v>250</v>
      </c>
      <c r="E109" s="337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6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263</v>
      </c>
      <c r="E111" s="338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88</v>
      </c>
      <c r="D116" s="86" t="s">
        <v>277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64</v>
      </c>
      <c r="G118" s="67"/>
      <c r="H118" s="105">
        <v>787652.59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65</v>
      </c>
      <c r="G119" s="109"/>
      <c r="H119" s="114">
        <v>15982156.710000001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117</v>
      </c>
      <c r="H120" s="110">
        <f>SUM(H118:H119)</f>
        <v>16769809.300000001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133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116</v>
      </c>
      <c r="D124" s="112" t="s">
        <v>278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256</v>
      </c>
      <c r="G127" s="90"/>
      <c r="H127" s="105">
        <v>870270986.79999995</v>
      </c>
      <c r="I127" s="55"/>
      <c r="J127" s="108"/>
    </row>
    <row r="128" spans="1:10" hidden="1" x14ac:dyDescent="0.2">
      <c r="B128" s="100"/>
      <c r="C128" s="67"/>
      <c r="D128" s="67" t="s">
        <v>154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134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149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135</v>
      </c>
      <c r="G131" s="90"/>
      <c r="H131" s="115">
        <f>SUM(H127:H130)</f>
        <v>870270986.79999995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120</v>
      </c>
      <c r="D133" s="74" t="s">
        <v>126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279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130</v>
      </c>
      <c r="E138" s="94"/>
      <c r="F138" s="94"/>
      <c r="G138" s="112"/>
      <c r="H138" s="366">
        <v>5474006.04</v>
      </c>
      <c r="I138" s="63"/>
      <c r="J138" s="108"/>
    </row>
    <row r="139" spans="2:10" x14ac:dyDescent="0.2">
      <c r="B139" s="100"/>
      <c r="C139" s="67"/>
      <c r="D139" s="94" t="s">
        <v>114</v>
      </c>
      <c r="E139" s="94"/>
      <c r="F139" s="94"/>
      <c r="G139" s="112"/>
      <c r="H139" s="105">
        <v>359234.60000000003</v>
      </c>
      <c r="I139" s="63"/>
      <c r="J139" s="108"/>
    </row>
    <row r="140" spans="2:10" x14ac:dyDescent="0.2">
      <c r="B140" s="100"/>
      <c r="C140" s="67"/>
      <c r="D140" s="94" t="s">
        <v>112</v>
      </c>
      <c r="E140" s="94"/>
      <c r="F140" s="94"/>
      <c r="G140" s="112"/>
      <c r="H140" s="366">
        <v>5222788.13</v>
      </c>
      <c r="I140" s="66"/>
      <c r="J140" s="108"/>
    </row>
    <row r="141" spans="2:10" hidden="1" x14ac:dyDescent="0.2">
      <c r="B141" s="100"/>
      <c r="C141" s="67"/>
      <c r="D141" s="94" t="s">
        <v>271</v>
      </c>
      <c r="E141" s="94"/>
      <c r="F141" s="94"/>
      <c r="G141" s="112"/>
      <c r="H141" s="105">
        <v>0</v>
      </c>
      <c r="I141" s="66"/>
      <c r="J141" s="108"/>
    </row>
    <row r="142" spans="2:10" hidden="1" x14ac:dyDescent="0.2">
      <c r="B142" s="100"/>
      <c r="C142" s="67"/>
      <c r="D142" s="94" t="s">
        <v>89</v>
      </c>
      <c r="E142" s="94"/>
      <c r="F142" s="94"/>
      <c r="G142" s="112"/>
      <c r="H142" s="61">
        <v>0</v>
      </c>
      <c r="I142" s="66"/>
      <c r="J142" s="108"/>
    </row>
    <row r="143" spans="2:10" hidden="1" x14ac:dyDescent="0.2">
      <c r="B143" s="100"/>
      <c r="C143" s="67"/>
      <c r="D143" s="94" t="s">
        <v>203</v>
      </c>
      <c r="E143" s="94"/>
      <c r="F143" s="94"/>
      <c r="G143" s="112"/>
      <c r="H143" s="61">
        <v>0</v>
      </c>
      <c r="I143" s="66"/>
      <c r="J143" s="108"/>
    </row>
    <row r="144" spans="2:10" x14ac:dyDescent="0.2">
      <c r="B144" s="100"/>
      <c r="C144" s="67"/>
      <c r="D144" s="121" t="s">
        <v>150</v>
      </c>
      <c r="E144" s="121"/>
      <c r="F144" s="94"/>
      <c r="G144" s="112"/>
      <c r="H144" s="105">
        <v>30467565.640000001</v>
      </c>
      <c r="I144" s="66"/>
      <c r="J144" s="108"/>
    </row>
    <row r="145" spans="2:10" hidden="1" x14ac:dyDescent="0.2">
      <c r="B145" s="100"/>
      <c r="C145" s="67"/>
      <c r="D145" s="94" t="s">
        <v>20</v>
      </c>
      <c r="E145" s="94"/>
      <c r="F145" s="94"/>
      <c r="G145" s="112"/>
      <c r="H145" s="105">
        <v>0</v>
      </c>
      <c r="I145" s="66"/>
      <c r="J145" s="108"/>
    </row>
    <row r="146" spans="2:10" x14ac:dyDescent="0.2">
      <c r="B146" s="100"/>
      <c r="C146" s="67"/>
      <c r="D146" s="121" t="s">
        <v>264</v>
      </c>
      <c r="E146" s="121"/>
      <c r="F146" s="94"/>
      <c r="G146" s="112"/>
      <c r="H146" s="105">
        <v>2797400</v>
      </c>
      <c r="I146" s="66"/>
      <c r="J146" s="108"/>
    </row>
    <row r="147" spans="2:10" ht="15" thickBot="1" x14ac:dyDescent="0.25">
      <c r="B147" s="100"/>
      <c r="C147" s="67"/>
      <c r="D147" s="122"/>
      <c r="E147" s="122"/>
      <c r="F147" s="94"/>
      <c r="G147" s="90" t="s">
        <v>127</v>
      </c>
      <c r="H147" s="115">
        <f>SUM(H138:H146)</f>
        <v>44320994.409999996</v>
      </c>
      <c r="I147" s="66"/>
      <c r="J147" s="108"/>
    </row>
    <row r="148" spans="2:10" ht="15" thickTop="1" x14ac:dyDescent="0.2">
      <c r="B148" s="100"/>
      <c r="C148" s="67"/>
      <c r="D148" s="122"/>
      <c r="E148" s="122"/>
      <c r="F148" s="94"/>
      <c r="G148" s="67"/>
      <c r="H148" s="67"/>
      <c r="I148" s="66"/>
      <c r="J148" s="108"/>
    </row>
    <row r="149" spans="2:10" hidden="1" x14ac:dyDescent="0.2">
      <c r="B149" s="100"/>
      <c r="C149" s="73" t="s">
        <v>128</v>
      </c>
      <c r="D149" s="74" t="s">
        <v>11</v>
      </c>
      <c r="E149" s="74"/>
      <c r="F149" s="75"/>
      <c r="G149" s="54"/>
      <c r="H149" s="123"/>
      <c r="I149" s="66"/>
      <c r="J149" s="108"/>
    </row>
    <row r="150" spans="2:10" hidden="1" x14ac:dyDescent="0.2">
      <c r="B150" s="100"/>
      <c r="C150" s="67"/>
      <c r="D150" s="54"/>
      <c r="E150" s="54"/>
      <c r="F150" s="54"/>
      <c r="G150" s="54"/>
      <c r="H150" s="123"/>
      <c r="I150" s="55"/>
      <c r="J150" s="108"/>
    </row>
    <row r="151" spans="2:10" ht="15" hidden="1" thickBot="1" x14ac:dyDescent="0.25">
      <c r="B151" s="100"/>
      <c r="C151" s="54"/>
      <c r="D151" s="54"/>
      <c r="E151" s="54"/>
      <c r="F151" s="54"/>
      <c r="G151" s="54"/>
      <c r="H151" s="123"/>
      <c r="I151" s="124" t="e">
        <f>+#REF!</f>
        <v>#REF!</v>
      </c>
      <c r="J151" s="101"/>
    </row>
    <row r="152" spans="2:10" hidden="1" x14ac:dyDescent="0.2">
      <c r="B152" s="100"/>
      <c r="C152" s="54" t="s">
        <v>182</v>
      </c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/>
      <c r="D153" s="54"/>
      <c r="E153" s="54"/>
      <c r="F153" s="54"/>
      <c r="G153" s="54"/>
      <c r="H153" s="67"/>
      <c r="I153" s="54"/>
      <c r="J153" s="108"/>
    </row>
    <row r="154" spans="2:10" hidden="1" x14ac:dyDescent="0.2">
      <c r="B154" s="100"/>
      <c r="C154" s="54" t="s">
        <v>71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188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151</v>
      </c>
      <c r="D156" s="54"/>
      <c r="E156" s="54"/>
      <c r="F156" s="54"/>
      <c r="G156" s="54"/>
      <c r="H156" s="67"/>
      <c r="I156" s="55"/>
      <c r="J156" s="108"/>
    </row>
    <row r="157" spans="2:10" hidden="1" x14ac:dyDescent="0.2">
      <c r="B157" s="100"/>
      <c r="C157" s="54" t="s">
        <v>2</v>
      </c>
      <c r="D157" s="54"/>
      <c r="E157" s="54"/>
      <c r="F157" s="54"/>
      <c r="G157" s="54"/>
      <c r="H157" s="67"/>
      <c r="I157" s="55" t="s">
        <v>72</v>
      </c>
      <c r="J157" s="108"/>
    </row>
    <row r="158" spans="2:10" hidden="1" x14ac:dyDescent="0.2">
      <c r="B158" s="100"/>
      <c r="C158" s="54" t="s">
        <v>3</v>
      </c>
      <c r="D158" s="54"/>
      <c r="E158" s="54"/>
      <c r="F158" s="54"/>
      <c r="G158" s="54"/>
      <c r="H158" s="67"/>
      <c r="I158" s="55"/>
      <c r="J158" s="108"/>
    </row>
    <row r="159" spans="2:10" hidden="1" x14ac:dyDescent="0.2">
      <c r="B159" s="100"/>
      <c r="C159" s="59" t="s">
        <v>106</v>
      </c>
      <c r="D159" s="54"/>
      <c r="E159" s="54"/>
      <c r="F159" s="54"/>
      <c r="G159" s="54"/>
      <c r="H159" s="67"/>
      <c r="I159" s="56">
        <v>0</v>
      </c>
      <c r="J159" s="108"/>
    </row>
    <row r="160" spans="2:10" hidden="1" x14ac:dyDescent="0.2">
      <c r="B160" s="100"/>
      <c r="C160" s="54" t="s">
        <v>107</v>
      </c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54"/>
      <c r="D161" s="54"/>
      <c r="E161" s="54"/>
      <c r="F161" s="54"/>
      <c r="G161" s="54"/>
      <c r="H161" s="67"/>
      <c r="I161" s="61"/>
      <c r="J161" s="108"/>
    </row>
    <row r="162" spans="2:10" x14ac:dyDescent="0.2">
      <c r="B162" s="100"/>
      <c r="C162" s="177"/>
      <c r="D162" s="59"/>
      <c r="E162" s="59"/>
      <c r="F162" s="54"/>
      <c r="G162" s="54"/>
      <c r="I162" s="111"/>
      <c r="J162" s="108"/>
    </row>
    <row r="163" spans="2:10" ht="21.75" customHeight="1" thickBot="1" x14ac:dyDescent="0.25">
      <c r="B163" s="156"/>
      <c r="C163" s="158"/>
      <c r="D163" s="158"/>
      <c r="E163" s="158"/>
      <c r="F163" s="157"/>
      <c r="G163" s="157"/>
      <c r="H163" s="116"/>
      <c r="I163" s="110"/>
      <c r="J163" s="120"/>
    </row>
    <row r="164" spans="2:10" ht="15" thickTop="1" x14ac:dyDescent="0.2">
      <c r="C164" s="54"/>
    </row>
    <row r="165" spans="2:10" x14ac:dyDescent="0.2">
      <c r="H165" s="23"/>
    </row>
    <row r="166" spans="2:10" x14ac:dyDescent="0.2">
      <c r="H166" s="23"/>
    </row>
    <row r="167" spans="2:10" x14ac:dyDescent="0.2">
      <c r="D167" s="37"/>
      <c r="E167" s="40"/>
      <c r="F167" s="9"/>
      <c r="G167" s="38"/>
      <c r="H167" s="11"/>
    </row>
    <row r="168" spans="2:10" x14ac:dyDescent="0.2">
      <c r="D168" s="37"/>
      <c r="E168" s="40"/>
      <c r="F168" s="9"/>
      <c r="G168" s="38"/>
      <c r="H168" s="27"/>
    </row>
    <row r="169" spans="2:10" x14ac:dyDescent="0.2">
      <c r="H169" s="35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2"/>
    </row>
    <row r="181" spans="8:8" x14ac:dyDescent="0.2">
      <c r="H181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H1871"/>
  <sheetViews>
    <sheetView zoomScale="110" zoomScaleNormal="110" workbookViewId="0">
      <selection activeCell="P48" sqref="P48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63"/>
      <c r="C5" s="264"/>
      <c r="D5" s="264"/>
      <c r="E5" s="264"/>
      <c r="F5" s="264"/>
      <c r="G5" s="265"/>
    </row>
    <row r="6" spans="2:7" x14ac:dyDescent="0.2">
      <c r="B6" s="266"/>
      <c r="C6" s="21"/>
      <c r="D6" s="21"/>
      <c r="E6" s="21"/>
      <c r="F6" s="21"/>
      <c r="G6" s="267"/>
    </row>
    <row r="7" spans="2:7" x14ac:dyDescent="0.2">
      <c r="B7" s="266"/>
      <c r="C7" s="21"/>
      <c r="D7" s="21"/>
      <c r="E7" s="21"/>
      <c r="F7" s="21"/>
      <c r="G7" s="267"/>
    </row>
    <row r="8" spans="2:7" x14ac:dyDescent="0.2">
      <c r="B8" s="266"/>
      <c r="C8" s="5"/>
      <c r="D8" s="5"/>
      <c r="E8" s="5"/>
      <c r="F8" s="5"/>
      <c r="G8" s="267"/>
    </row>
    <row r="9" spans="2:7" x14ac:dyDescent="0.2">
      <c r="B9" s="390" t="s">
        <v>1</v>
      </c>
      <c r="C9" s="391"/>
      <c r="D9" s="391"/>
      <c r="E9" s="391"/>
      <c r="F9" s="391"/>
      <c r="G9" s="392"/>
    </row>
    <row r="10" spans="2:7" x14ac:dyDescent="0.2">
      <c r="B10" s="390" t="str">
        <f>+'CASH F'!$B$10:$F$10</f>
        <v>DEL 01 DE ENERO AL 28 DE FEBRERO 2022</v>
      </c>
      <c r="C10" s="391"/>
      <c r="D10" s="391"/>
      <c r="E10" s="391"/>
      <c r="F10" s="391"/>
      <c r="G10" s="392"/>
    </row>
    <row r="11" spans="2:7" x14ac:dyDescent="0.2">
      <c r="B11" s="390" t="s">
        <v>167</v>
      </c>
      <c r="C11" s="391"/>
      <c r="D11" s="391"/>
      <c r="E11" s="391"/>
      <c r="F11" s="391"/>
      <c r="G11" s="392"/>
    </row>
    <row r="12" spans="2:7" ht="15" thickBot="1" x14ac:dyDescent="0.25">
      <c r="B12" s="277"/>
      <c r="C12" s="22"/>
      <c r="D12" s="22"/>
      <c r="E12" s="22"/>
      <c r="F12" s="22"/>
      <c r="G12" s="278"/>
    </row>
    <row r="13" spans="2:7" x14ac:dyDescent="0.2">
      <c r="B13" s="279"/>
      <c r="C13" s="54"/>
      <c r="D13" s="54"/>
      <c r="E13" s="54"/>
      <c r="F13" s="54"/>
      <c r="G13" s="101"/>
    </row>
    <row r="14" spans="2:7" x14ac:dyDescent="0.2">
      <c r="B14" s="279"/>
      <c r="C14" s="54"/>
      <c r="D14" s="322" t="s">
        <v>274</v>
      </c>
      <c r="E14" s="53"/>
      <c r="F14" s="322" t="s">
        <v>68</v>
      </c>
      <c r="G14" s="101"/>
    </row>
    <row r="15" spans="2:7" x14ac:dyDescent="0.2">
      <c r="B15" s="279"/>
      <c r="C15" s="54"/>
      <c r="D15" s="54"/>
      <c r="E15" s="54"/>
      <c r="F15" s="54"/>
      <c r="G15" s="101"/>
    </row>
    <row r="16" spans="2:7" x14ac:dyDescent="0.2">
      <c r="B16" s="279"/>
      <c r="C16" s="51" t="s">
        <v>194</v>
      </c>
      <c r="D16" s="67"/>
      <c r="E16" s="67"/>
      <c r="F16" s="67"/>
      <c r="G16" s="101"/>
    </row>
    <row r="17" spans="2:7" ht="12.75" hidden="1" customHeight="1" x14ac:dyDescent="0.2">
      <c r="B17" s="279"/>
      <c r="C17" s="54" t="s">
        <v>59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79"/>
      <c r="C18" s="54" t="s">
        <v>163</v>
      </c>
      <c r="D18" s="105"/>
      <c r="E18" s="105"/>
      <c r="F18" s="105">
        <f>+D18</f>
        <v>0</v>
      </c>
      <c r="G18" s="101"/>
    </row>
    <row r="19" spans="2:7" x14ac:dyDescent="0.2">
      <c r="B19" s="279"/>
      <c r="C19" s="54"/>
      <c r="D19" s="105"/>
      <c r="E19" s="105"/>
      <c r="F19" s="105"/>
      <c r="G19" s="101"/>
    </row>
    <row r="20" spans="2:7" x14ac:dyDescent="0.2">
      <c r="B20" s="279"/>
      <c r="C20" s="218" t="s">
        <v>129</v>
      </c>
      <c r="D20" s="367">
        <v>25904471.09</v>
      </c>
      <c r="E20" s="367"/>
      <c r="F20" s="367">
        <f>24347355.6+D20</f>
        <v>50251826.689999998</v>
      </c>
      <c r="G20" s="101"/>
    </row>
    <row r="21" spans="2:7" x14ac:dyDescent="0.2">
      <c r="B21" s="279"/>
      <c r="C21" s="218" t="s">
        <v>138</v>
      </c>
      <c r="D21" s="367">
        <v>40980221.969999999</v>
      </c>
      <c r="E21" s="367"/>
      <c r="F21" s="367">
        <f>38585921.12+D21</f>
        <v>79566143.090000004</v>
      </c>
      <c r="G21" s="101"/>
    </row>
    <row r="22" spans="2:7" hidden="1" x14ac:dyDescent="0.2">
      <c r="B22" s="279"/>
      <c r="C22" s="218" t="s">
        <v>144</v>
      </c>
      <c r="D22" s="367">
        <v>0</v>
      </c>
      <c r="E22" s="367"/>
      <c r="F22" s="367">
        <v>0</v>
      </c>
      <c r="G22" s="101"/>
    </row>
    <row r="23" spans="2:7" hidden="1" x14ac:dyDescent="0.2">
      <c r="B23" s="279"/>
      <c r="C23" s="218" t="s">
        <v>146</v>
      </c>
      <c r="D23" s="255">
        <v>0</v>
      </c>
      <c r="E23" s="379"/>
      <c r="F23" s="255">
        <v>0</v>
      </c>
      <c r="G23" s="101"/>
    </row>
    <row r="24" spans="2:7" x14ac:dyDescent="0.2">
      <c r="B24" s="279"/>
      <c r="C24" s="218" t="s">
        <v>87</v>
      </c>
      <c r="D24" s="256">
        <v>782684.09</v>
      </c>
      <c r="E24" s="368"/>
      <c r="F24" s="256">
        <v>1508238.09</v>
      </c>
      <c r="G24" s="101"/>
    </row>
    <row r="25" spans="2:7" x14ac:dyDescent="0.2">
      <c r="B25" s="279"/>
      <c r="C25" s="64" t="s">
        <v>168</v>
      </c>
      <c r="D25" s="375">
        <f>SUM(D20:D24)</f>
        <v>67667377.150000006</v>
      </c>
      <c r="E25" s="105"/>
      <c r="F25" s="62">
        <f>SUM(F20:F24)</f>
        <v>131326207.87</v>
      </c>
      <c r="G25" s="101"/>
    </row>
    <row r="26" spans="2:7" x14ac:dyDescent="0.2">
      <c r="B26" s="279"/>
      <c r="D26" s="368"/>
      <c r="E26" s="325"/>
      <c r="G26" s="101"/>
    </row>
    <row r="27" spans="2:7" x14ac:dyDescent="0.2">
      <c r="B27" s="279"/>
      <c r="C27" s="51" t="s">
        <v>195</v>
      </c>
      <c r="D27" s="280"/>
      <c r="F27" s="372"/>
      <c r="G27" s="101"/>
    </row>
    <row r="28" spans="2:7" x14ac:dyDescent="0.2">
      <c r="B28" s="279"/>
      <c r="C28" s="51"/>
      <c r="D28" s="105"/>
      <c r="E28" s="105"/>
      <c r="F28" s="105"/>
      <c r="G28" s="101"/>
    </row>
    <row r="29" spans="2:7" x14ac:dyDescent="0.2">
      <c r="B29" s="279"/>
      <c r="C29" s="257" t="s">
        <v>75</v>
      </c>
      <c r="D29" s="367">
        <v>54342566.789999999</v>
      </c>
      <c r="E29" s="368"/>
      <c r="F29" s="367">
        <v>108394149.18000001</v>
      </c>
      <c r="G29" s="101"/>
    </row>
    <row r="30" spans="2:7" x14ac:dyDescent="0.2">
      <c r="B30" s="279"/>
      <c r="C30" s="258" t="s">
        <v>76</v>
      </c>
      <c r="D30" s="367">
        <v>8848234.25</v>
      </c>
      <c r="E30" s="369"/>
      <c r="F30" s="367">
        <v>18371883.199999999</v>
      </c>
      <c r="G30" s="101"/>
    </row>
    <row r="31" spans="2:7" x14ac:dyDescent="0.2">
      <c r="B31" s="279"/>
      <c r="C31" s="258" t="s">
        <v>209</v>
      </c>
      <c r="D31" s="367">
        <v>4110393.75</v>
      </c>
      <c r="E31" s="369"/>
      <c r="F31" s="367">
        <f>270335.3+D31</f>
        <v>4380729.05</v>
      </c>
      <c r="G31" s="101"/>
    </row>
    <row r="32" spans="2:7" x14ac:dyDescent="0.2">
      <c r="B32" s="279"/>
      <c r="C32" s="258" t="s">
        <v>93</v>
      </c>
      <c r="D32" s="367">
        <v>834882.41999999993</v>
      </c>
      <c r="E32" s="368"/>
      <c r="F32" s="367">
        <f>835080+D32</f>
        <v>1669962.42</v>
      </c>
      <c r="G32" s="101"/>
    </row>
    <row r="33" spans="2:7" x14ac:dyDescent="0.2">
      <c r="B33" s="279"/>
      <c r="C33" s="258" t="s">
        <v>77</v>
      </c>
      <c r="D33" s="370">
        <v>7680</v>
      </c>
      <c r="E33" s="368"/>
      <c r="F33" s="370">
        <v>15180</v>
      </c>
      <c r="G33" s="101"/>
    </row>
    <row r="34" spans="2:7" x14ac:dyDescent="0.2">
      <c r="B34" s="279"/>
      <c r="C34" s="58" t="s">
        <v>79</v>
      </c>
      <c r="D34" s="62">
        <f>SUM(D29:D33)</f>
        <v>68143757.209999993</v>
      </c>
      <c r="E34" s="111"/>
      <c r="F34" s="62">
        <f>SUM(F29:F33)-1</f>
        <v>132831902.85000001</v>
      </c>
      <c r="G34" s="101"/>
    </row>
    <row r="35" spans="2:7" x14ac:dyDescent="0.2">
      <c r="B35" s="279"/>
      <c r="C35" s="58"/>
      <c r="D35" s="111"/>
      <c r="E35" s="111"/>
      <c r="F35" s="111"/>
      <c r="G35" s="101"/>
    </row>
    <row r="36" spans="2:7" hidden="1" x14ac:dyDescent="0.2">
      <c r="B36" s="279"/>
      <c r="C36" s="51" t="s">
        <v>78</v>
      </c>
      <c r="D36" s="105"/>
      <c r="E36" s="50"/>
      <c r="F36" s="105"/>
      <c r="G36" s="101"/>
    </row>
    <row r="37" spans="2:7" hidden="1" x14ac:dyDescent="0.2">
      <c r="B37" s="279"/>
      <c r="C37" s="94" t="s">
        <v>169</v>
      </c>
      <c r="D37" s="125">
        <v>0</v>
      </c>
      <c r="E37" s="50"/>
      <c r="F37" s="114">
        <v>0</v>
      </c>
      <c r="G37" s="101"/>
    </row>
    <row r="38" spans="2:7" hidden="1" x14ac:dyDescent="0.2">
      <c r="B38" s="279"/>
      <c r="C38" s="58" t="s">
        <v>80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79"/>
      <c r="C39" s="58"/>
      <c r="D39" s="111"/>
      <c r="E39" s="111"/>
      <c r="F39" s="111"/>
      <c r="G39" s="101"/>
    </row>
    <row r="40" spans="2:7" x14ac:dyDescent="0.2">
      <c r="B40" s="279"/>
      <c r="C40" s="64" t="s">
        <v>61</v>
      </c>
      <c r="D40" s="62">
        <f>+D38+D34</f>
        <v>68143757.209999993</v>
      </c>
      <c r="E40" s="105"/>
      <c r="F40" s="62">
        <f>+F38+F34</f>
        <v>132831902.85000001</v>
      </c>
      <c r="G40" s="101"/>
    </row>
    <row r="41" spans="2:7" x14ac:dyDescent="0.2">
      <c r="B41" s="279"/>
      <c r="C41" s="54"/>
      <c r="D41" s="105"/>
      <c r="E41" s="105"/>
      <c r="F41" s="114"/>
      <c r="G41" s="101"/>
    </row>
    <row r="42" spans="2:7" ht="15" thickBot="1" x14ac:dyDescent="0.25">
      <c r="B42" s="279"/>
      <c r="C42" s="64" t="s">
        <v>147</v>
      </c>
      <c r="D42" s="115">
        <f>+D25-D40</f>
        <v>-476380.05999998748</v>
      </c>
      <c r="E42" s="105"/>
      <c r="F42" s="115">
        <f>+F25-F34</f>
        <v>-1505694.9800000042</v>
      </c>
      <c r="G42" s="101"/>
    </row>
    <row r="43" spans="2:7" ht="15" thickTop="1" x14ac:dyDescent="0.2">
      <c r="B43" s="279"/>
      <c r="C43" s="54"/>
      <c r="D43" s="60"/>
      <c r="E43" s="67"/>
      <c r="F43" s="67"/>
      <c r="G43" s="101"/>
    </row>
    <row r="44" spans="2:7" ht="14.25" hidden="1" customHeight="1" x14ac:dyDescent="0.2">
      <c r="B44" s="279"/>
      <c r="C44" s="51"/>
      <c r="D44" s="60"/>
      <c r="E44" s="67"/>
      <c r="F44" s="67"/>
      <c r="G44" s="101"/>
    </row>
    <row r="45" spans="2:7" hidden="1" x14ac:dyDescent="0.2">
      <c r="B45" s="279"/>
      <c r="C45" s="51"/>
      <c r="D45" s="60"/>
      <c r="E45" s="67"/>
      <c r="F45" s="67"/>
      <c r="G45" s="101"/>
    </row>
    <row r="46" spans="2:7" hidden="1" x14ac:dyDescent="0.2">
      <c r="B46" s="279"/>
      <c r="C46" s="51"/>
      <c r="D46" s="60"/>
      <c r="E46" s="67"/>
      <c r="F46" s="67"/>
      <c r="G46" s="101"/>
    </row>
    <row r="47" spans="2:7" x14ac:dyDescent="0.2">
      <c r="B47" s="279"/>
      <c r="C47" s="59"/>
      <c r="D47" s="86"/>
      <c r="E47" s="50"/>
      <c r="F47" s="50"/>
      <c r="G47" s="101"/>
    </row>
    <row r="48" spans="2:7" x14ac:dyDescent="0.2">
      <c r="B48" s="279"/>
      <c r="C48" s="59"/>
      <c r="D48" s="280"/>
      <c r="E48" s="50"/>
      <c r="F48" s="280"/>
      <c r="G48" s="101"/>
    </row>
    <row r="49" spans="2:8" x14ac:dyDescent="0.2">
      <c r="B49" s="279"/>
      <c r="C49" s="54"/>
      <c r="D49" s="280"/>
      <c r="E49" s="280"/>
      <c r="F49" s="280"/>
      <c r="G49" s="101"/>
    </row>
    <row r="50" spans="2:8" x14ac:dyDescent="0.2">
      <c r="B50" s="279"/>
      <c r="C50" s="54"/>
      <c r="E50" s="54"/>
      <c r="F50" s="127"/>
      <c r="G50" s="101"/>
    </row>
    <row r="51" spans="2:8" ht="15" thickBot="1" x14ac:dyDescent="0.25">
      <c r="B51" s="281"/>
      <c r="C51" s="157"/>
      <c r="D51" s="282"/>
      <c r="E51" s="157"/>
      <c r="F51" s="283"/>
      <c r="G51" s="284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50" t="s">
        <v>268</v>
      </c>
      <c r="D56" s="400" t="s">
        <v>212</v>
      </c>
      <c r="E56" s="400"/>
      <c r="F56" s="400"/>
      <c r="G56" s="13"/>
    </row>
    <row r="57" spans="2:8" s="6" customFormat="1" x14ac:dyDescent="0.2">
      <c r="B57" s="12"/>
      <c r="C57" s="15" t="s">
        <v>269</v>
      </c>
      <c r="D57" s="397" t="s">
        <v>189</v>
      </c>
      <c r="E57" s="397"/>
      <c r="F57" s="397"/>
      <c r="G57" s="14"/>
      <c r="H57" s="3"/>
    </row>
    <row r="58" spans="2:8" s="6" customFormat="1" x14ac:dyDescent="0.2">
      <c r="B58" s="12"/>
      <c r="D58" s="260"/>
      <c r="E58" s="260"/>
      <c r="F58" s="260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266</v>
      </c>
      <c r="D61" s="13"/>
      <c r="E61" s="13"/>
      <c r="F61" s="13"/>
      <c r="G61" s="13"/>
    </row>
    <row r="62" spans="2:8" s="18" customFormat="1" x14ac:dyDescent="0.2">
      <c r="B62" s="13"/>
      <c r="C62" s="261" t="s">
        <v>39</v>
      </c>
      <c r="D62" s="261"/>
      <c r="E62" s="261"/>
      <c r="F62" s="261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H88"/>
  <sheetViews>
    <sheetView zoomScale="110" zoomScaleNormal="110" workbookViewId="0">
      <selection activeCell="P68" sqref="P68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85"/>
      <c r="C4" s="286"/>
      <c r="D4" s="287"/>
      <c r="E4" s="287"/>
      <c r="F4" s="288"/>
    </row>
    <row r="5" spans="2:6" x14ac:dyDescent="0.2">
      <c r="B5" s="289"/>
      <c r="C5" s="44"/>
      <c r="D5" s="45"/>
      <c r="E5" s="45"/>
      <c r="F5" s="290"/>
    </row>
    <row r="6" spans="2:6" x14ac:dyDescent="0.2">
      <c r="B6" s="289"/>
      <c r="C6" s="44"/>
      <c r="D6" s="45"/>
      <c r="E6" s="45"/>
      <c r="F6" s="290"/>
    </row>
    <row r="7" spans="2:6" x14ac:dyDescent="0.2">
      <c r="B7" s="289"/>
      <c r="C7" s="44"/>
      <c r="D7" s="45"/>
      <c r="E7" s="45"/>
      <c r="F7" s="291"/>
    </row>
    <row r="8" spans="2:6" x14ac:dyDescent="0.2">
      <c r="B8" s="292"/>
      <c r="C8" s="20"/>
      <c r="D8" s="20"/>
      <c r="E8" s="20"/>
      <c r="F8" s="293"/>
    </row>
    <row r="9" spans="2:6" x14ac:dyDescent="0.2">
      <c r="B9" s="390" t="s">
        <v>7</v>
      </c>
      <c r="C9" s="391"/>
      <c r="D9" s="391"/>
      <c r="E9" s="391"/>
      <c r="F9" s="392"/>
    </row>
    <row r="10" spans="2:6" x14ac:dyDescent="0.2">
      <c r="B10" s="390" t="s">
        <v>273</v>
      </c>
      <c r="C10" s="391"/>
      <c r="D10" s="391"/>
      <c r="E10" s="391"/>
      <c r="F10" s="392"/>
    </row>
    <row r="11" spans="2:6" x14ac:dyDescent="0.2">
      <c r="B11" s="390" t="s">
        <v>167</v>
      </c>
      <c r="C11" s="391"/>
      <c r="D11" s="391"/>
      <c r="E11" s="391"/>
      <c r="F11" s="392"/>
    </row>
    <row r="12" spans="2:6" ht="15" thickBot="1" x14ac:dyDescent="0.25">
      <c r="B12" s="294"/>
      <c r="C12" s="46"/>
      <c r="D12" s="47"/>
      <c r="E12" s="47"/>
      <c r="F12" s="295"/>
    </row>
    <row r="13" spans="2:6" x14ac:dyDescent="0.2">
      <c r="B13" s="296"/>
      <c r="C13" s="128"/>
      <c r="D13" s="129"/>
      <c r="E13" s="129"/>
      <c r="F13" s="297"/>
    </row>
    <row r="14" spans="2:6" x14ac:dyDescent="0.2">
      <c r="B14" s="357" t="s">
        <v>196</v>
      </c>
      <c r="C14" s="86"/>
      <c r="D14" s="130"/>
      <c r="E14" s="131"/>
      <c r="F14" s="299"/>
    </row>
    <row r="15" spans="2:6" x14ac:dyDescent="0.2">
      <c r="B15" s="298"/>
      <c r="C15" s="86"/>
      <c r="D15" s="130"/>
      <c r="E15" s="131"/>
      <c r="F15" s="299"/>
    </row>
    <row r="16" spans="2:6" x14ac:dyDescent="0.2">
      <c r="B16" s="358" t="s">
        <v>199</v>
      </c>
      <c r="C16" s="86"/>
      <c r="D16" s="130"/>
      <c r="E16" s="131"/>
      <c r="F16" s="299"/>
    </row>
    <row r="17" spans="2:7" x14ac:dyDescent="0.2">
      <c r="B17" s="359" t="s">
        <v>0</v>
      </c>
      <c r="C17" s="86"/>
      <c r="D17" s="130"/>
      <c r="E17" s="342" t="str">
        <f>+RESULTADOS!D14</f>
        <v>Febrero</v>
      </c>
      <c r="F17" s="365" t="str">
        <f>+RESULTADOS!F14</f>
        <v>Acumulado</v>
      </c>
    </row>
    <row r="18" spans="2:7" x14ac:dyDescent="0.2">
      <c r="B18" s="300"/>
      <c r="C18" s="86"/>
      <c r="D18" s="130"/>
      <c r="E18" s="130"/>
      <c r="F18" s="299"/>
    </row>
    <row r="19" spans="2:7" ht="12.75" customHeight="1" x14ac:dyDescent="0.2">
      <c r="B19" s="301" t="s">
        <v>83</v>
      </c>
      <c r="C19" s="86"/>
      <c r="D19" s="130"/>
      <c r="E19" s="57">
        <f>+RESULTADOS!D42</f>
        <v>-476380.05999998748</v>
      </c>
      <c r="F19" s="299">
        <f>+RESULTADOS!F42</f>
        <v>-1505694.9800000042</v>
      </c>
      <c r="G19" s="8"/>
    </row>
    <row r="20" spans="2:7" ht="12" customHeight="1" x14ac:dyDescent="0.2">
      <c r="B20" s="301"/>
      <c r="C20" s="86"/>
      <c r="D20" s="130"/>
      <c r="E20" s="57"/>
      <c r="F20" s="299"/>
      <c r="G20" s="8"/>
    </row>
    <row r="21" spans="2:7" ht="14.25" customHeight="1" x14ac:dyDescent="0.2">
      <c r="B21" s="279" t="s">
        <v>155</v>
      </c>
      <c r="C21" s="67"/>
      <c r="D21" s="131"/>
      <c r="E21" s="331">
        <v>-37890.550000000003</v>
      </c>
      <c r="F21" s="302">
        <f>-9098.92+E21</f>
        <v>-46989.47</v>
      </c>
      <c r="G21" s="8"/>
    </row>
    <row r="22" spans="2:7" ht="14.25" customHeight="1" x14ac:dyDescent="0.2">
      <c r="B22" s="279" t="s">
        <v>109</v>
      </c>
      <c r="C22" s="67"/>
      <c r="D22" s="131"/>
      <c r="E22" s="345"/>
      <c r="F22" s="386"/>
      <c r="G22" s="8"/>
    </row>
    <row r="23" spans="2:7" ht="14.25" hidden="1" customHeight="1" x14ac:dyDescent="0.2">
      <c r="B23" s="279" t="s">
        <v>12</v>
      </c>
      <c r="C23" s="67"/>
      <c r="D23" s="131"/>
      <c r="E23" s="345"/>
      <c r="F23" s="386"/>
      <c r="G23" s="8"/>
    </row>
    <row r="24" spans="2:7" s="48" customFormat="1" x14ac:dyDescent="0.2">
      <c r="B24" s="279" t="s">
        <v>158</v>
      </c>
      <c r="C24" s="86"/>
      <c r="D24" s="130"/>
      <c r="E24" s="345">
        <v>-1963700</v>
      </c>
      <c r="F24" s="386">
        <f>+E24</f>
        <v>-1963700</v>
      </c>
      <c r="G24" s="8"/>
    </row>
    <row r="25" spans="2:7" s="48" customFormat="1" ht="13.5" customHeight="1" x14ac:dyDescent="0.2">
      <c r="B25" s="279" t="s">
        <v>81</v>
      </c>
      <c r="C25" s="86"/>
      <c r="D25" s="130"/>
      <c r="E25" s="345">
        <v>87354.91</v>
      </c>
      <c r="F25" s="386">
        <f>-462333.23+E25</f>
        <v>-374978.31999999995</v>
      </c>
      <c r="G25" s="8"/>
    </row>
    <row r="26" spans="2:7" s="48" customFormat="1" ht="13.5" customHeight="1" x14ac:dyDescent="0.2">
      <c r="B26" s="279" t="s">
        <v>123</v>
      </c>
      <c r="C26" s="86"/>
      <c r="D26" s="130"/>
      <c r="E26" s="345">
        <v>209553.16</v>
      </c>
      <c r="F26" s="386">
        <f>209553.16+E26</f>
        <v>419106.32</v>
      </c>
      <c r="G26" s="8"/>
    </row>
    <row r="27" spans="2:7" s="48" customFormat="1" x14ac:dyDescent="0.2">
      <c r="B27" s="279" t="s">
        <v>73</v>
      </c>
      <c r="C27" s="86"/>
      <c r="D27" s="130"/>
      <c r="E27" s="345">
        <v>3560625.37</v>
      </c>
      <c r="F27" s="386">
        <f>-4956843.29+E27</f>
        <v>-1396217.92</v>
      </c>
      <c r="G27" s="8"/>
    </row>
    <row r="28" spans="2:7" s="48" customFormat="1" x14ac:dyDescent="0.2">
      <c r="B28" s="279" t="s">
        <v>108</v>
      </c>
      <c r="C28" s="86"/>
      <c r="D28" s="130"/>
      <c r="E28" s="345">
        <v>75460.58</v>
      </c>
      <c r="F28" s="386">
        <f>92245.99+E28</f>
        <v>167706.57</v>
      </c>
      <c r="G28" s="8"/>
    </row>
    <row r="29" spans="2:7" s="48" customFormat="1" x14ac:dyDescent="0.2">
      <c r="B29" s="279" t="s">
        <v>82</v>
      </c>
      <c r="C29" s="86"/>
      <c r="D29" s="130"/>
      <c r="E29" s="345">
        <v>15942467.740000002</v>
      </c>
      <c r="F29" s="386">
        <f>14986460.21+E29</f>
        <v>30928927.950000003</v>
      </c>
      <c r="G29" s="8"/>
    </row>
    <row r="30" spans="2:7" s="48" customFormat="1" hidden="1" x14ac:dyDescent="0.2">
      <c r="B30" s="279" t="s">
        <v>164</v>
      </c>
      <c r="C30" s="86"/>
      <c r="D30" s="130"/>
      <c r="E30" s="345"/>
      <c r="F30" s="386"/>
      <c r="G30" s="8"/>
    </row>
    <row r="31" spans="2:7" s="48" customFormat="1" x14ac:dyDescent="0.2">
      <c r="B31" s="279" t="s">
        <v>103</v>
      </c>
      <c r="C31" s="86"/>
      <c r="D31" s="130"/>
      <c r="E31" s="331">
        <v>78833.33</v>
      </c>
      <c r="F31" s="302">
        <v>78833.33</v>
      </c>
      <c r="G31" s="8"/>
    </row>
    <row r="32" spans="2:7" s="48" customFormat="1" x14ac:dyDescent="0.2">
      <c r="B32" s="279" t="s">
        <v>257</v>
      </c>
      <c r="C32" s="86"/>
      <c r="D32" s="130"/>
      <c r="E32" s="331">
        <v>98971421.060000002</v>
      </c>
      <c r="F32" s="302">
        <f>113280011.96+E32</f>
        <v>212251433.01999998</v>
      </c>
      <c r="G32" s="8"/>
    </row>
    <row r="33" spans="2:7" s="48" customFormat="1" ht="15" thickBot="1" x14ac:dyDescent="0.25">
      <c r="B33" s="362"/>
      <c r="C33" s="117"/>
      <c r="D33" s="363"/>
      <c r="E33" s="363"/>
      <c r="F33" s="364"/>
      <c r="G33" s="35"/>
    </row>
    <row r="34" spans="2:7" ht="16.5" customHeight="1" thickTop="1" thickBot="1" x14ac:dyDescent="0.25">
      <c r="B34" s="360" t="s">
        <v>197</v>
      </c>
      <c r="C34" s="132"/>
      <c r="D34" s="133" t="e">
        <f>+#REF!</f>
        <v>#REF!</v>
      </c>
      <c r="E34" s="361">
        <f>SUM(E19:E33)</f>
        <v>116447745.54000002</v>
      </c>
      <c r="F34" s="310">
        <f>SUM(F19:F33)</f>
        <v>238558426.49999997</v>
      </c>
      <c r="G34" s="8"/>
    </row>
    <row r="35" spans="2:7" ht="14.25" customHeight="1" x14ac:dyDescent="0.2">
      <c r="B35" s="306"/>
      <c r="C35" s="128"/>
      <c r="D35" s="129"/>
      <c r="E35" s="129"/>
      <c r="F35" s="297"/>
      <c r="G35" s="8"/>
    </row>
    <row r="36" spans="2:7" x14ac:dyDescent="0.2">
      <c r="B36" s="298" t="s">
        <v>216</v>
      </c>
      <c r="C36" s="86"/>
      <c r="D36" s="130"/>
      <c r="E36" s="131"/>
      <c r="F36" s="299"/>
      <c r="G36" s="8"/>
    </row>
    <row r="37" spans="2:7" x14ac:dyDescent="0.2">
      <c r="B37" s="307"/>
      <c r="C37" s="86"/>
      <c r="D37" s="130"/>
      <c r="E37" s="341"/>
      <c r="F37" s="308"/>
      <c r="G37" s="8"/>
    </row>
    <row r="38" spans="2:7" x14ac:dyDescent="0.2">
      <c r="B38" s="309" t="s">
        <v>200</v>
      </c>
      <c r="C38" s="86"/>
      <c r="D38" s="130"/>
      <c r="E38" s="332">
        <v>-608216.68999999994</v>
      </c>
      <c r="F38" s="303">
        <f>+E38</f>
        <v>-608216.68999999994</v>
      </c>
      <c r="G38" s="8">
        <v>54483800.640000001</v>
      </c>
    </row>
    <row r="39" spans="2:7" ht="12.75" customHeight="1" x14ac:dyDescent="0.2">
      <c r="B39" s="309" t="s">
        <v>84</v>
      </c>
      <c r="C39" s="67"/>
      <c r="D39" s="131"/>
      <c r="E39" s="332">
        <v>167118.82999999999</v>
      </c>
      <c r="F39" s="384">
        <f>167118.83+E39</f>
        <v>334237.65999999997</v>
      </c>
      <c r="G39" s="8"/>
    </row>
    <row r="40" spans="2:7" x14ac:dyDescent="0.2">
      <c r="B40" s="309" t="s">
        <v>85</v>
      </c>
      <c r="C40" s="67"/>
      <c r="D40" s="131"/>
      <c r="E40" s="332">
        <v>71869.790000000008</v>
      </c>
      <c r="F40" s="384">
        <f>209788.21+E40</f>
        <v>281658</v>
      </c>
      <c r="G40" s="8"/>
    </row>
    <row r="41" spans="2:7" x14ac:dyDescent="0.2">
      <c r="B41" s="309" t="s">
        <v>86</v>
      </c>
      <c r="C41" s="67"/>
      <c r="D41" s="131"/>
      <c r="E41" s="332">
        <v>38600</v>
      </c>
      <c r="F41" s="384">
        <f>38600+E41</f>
        <v>77200</v>
      </c>
      <c r="G41" s="8"/>
    </row>
    <row r="42" spans="2:7" ht="12.75" customHeight="1" x14ac:dyDescent="0.2">
      <c r="B42" s="309" t="s">
        <v>94</v>
      </c>
      <c r="C42" s="67"/>
      <c r="D42" s="131"/>
      <c r="E42" s="332">
        <v>398074.83</v>
      </c>
      <c r="F42" s="384">
        <f>398074.83+E42</f>
        <v>796149.66</v>
      </c>
      <c r="G42" s="8"/>
    </row>
    <row r="43" spans="2:7" ht="12.75" customHeight="1" x14ac:dyDescent="0.2">
      <c r="B43" s="309" t="s">
        <v>217</v>
      </c>
      <c r="C43" s="67"/>
      <c r="D43" s="131"/>
      <c r="E43" s="333">
        <v>21497.63</v>
      </c>
      <c r="F43" s="385">
        <f>21497.63+E43</f>
        <v>42995.26</v>
      </c>
      <c r="G43" s="8"/>
    </row>
    <row r="44" spans="2:7" ht="15" thickBot="1" x14ac:dyDescent="0.25">
      <c r="B44" s="304"/>
      <c r="C44" s="132"/>
      <c r="D44" s="133"/>
      <c r="E44" s="334"/>
      <c r="F44" s="310"/>
      <c r="G44" s="8"/>
    </row>
    <row r="45" spans="2:7" ht="15.75" customHeight="1" thickBot="1" x14ac:dyDescent="0.25">
      <c r="B45" s="311" t="s">
        <v>218</v>
      </c>
      <c r="C45" s="134"/>
      <c r="D45" s="135" t="e">
        <f>+#REF!</f>
        <v>#REF!</v>
      </c>
      <c r="E45" s="152">
        <f>SUM(E38:E44)</f>
        <v>88944.390000000072</v>
      </c>
      <c r="F45" s="305">
        <f>SUM(F38:F44)</f>
        <v>924023.89000000013</v>
      </c>
      <c r="G45" s="8"/>
    </row>
    <row r="46" spans="2:7" ht="15.75" hidden="1" customHeight="1" x14ac:dyDescent="0.2">
      <c r="B46" s="328"/>
      <c r="C46" s="128"/>
      <c r="D46" s="129"/>
      <c r="E46" s="329"/>
      <c r="F46" s="297"/>
      <c r="G46" s="8"/>
    </row>
    <row r="47" spans="2:7" ht="15" hidden="1" thickBot="1" x14ac:dyDescent="0.25">
      <c r="B47" s="307"/>
      <c r="C47" s="86"/>
      <c r="D47" s="130"/>
      <c r="E47" s="130"/>
      <c r="F47" s="299"/>
      <c r="G47" s="8"/>
    </row>
    <row r="48" spans="2:7" ht="15" hidden="1" thickBot="1" x14ac:dyDescent="0.25">
      <c r="B48" s="357" t="s">
        <v>8</v>
      </c>
      <c r="C48" s="86"/>
      <c r="D48" s="130"/>
      <c r="E48" s="130"/>
      <c r="F48" s="299"/>
      <c r="G48" s="8"/>
    </row>
    <row r="49" spans="2:8" ht="15" hidden="1" thickBot="1" x14ac:dyDescent="0.25">
      <c r="B49" s="307"/>
      <c r="C49" s="86"/>
      <c r="D49" s="130"/>
      <c r="E49" s="130"/>
      <c r="F49" s="299"/>
      <c r="G49" s="8"/>
    </row>
    <row r="50" spans="2:8" ht="12.75" hidden="1" customHeight="1" x14ac:dyDescent="0.2">
      <c r="B50" s="279" t="s">
        <v>95</v>
      </c>
      <c r="C50" s="86"/>
      <c r="D50" s="130"/>
      <c r="E50" s="60">
        <v>0</v>
      </c>
      <c r="F50" s="308">
        <v>0</v>
      </c>
      <c r="G50" s="8"/>
      <c r="H50" s="13"/>
    </row>
    <row r="51" spans="2:8" ht="12.75" hidden="1" customHeight="1" x14ac:dyDescent="0.2">
      <c r="B51" s="279" t="s">
        <v>41</v>
      </c>
      <c r="C51" s="86"/>
      <c r="D51" s="130"/>
      <c r="E51" s="355">
        <v>0</v>
      </c>
      <c r="F51" s="308">
        <v>0</v>
      </c>
      <c r="G51" s="8"/>
      <c r="H51" s="13"/>
    </row>
    <row r="52" spans="2:8" ht="12.75" hidden="1" customHeight="1" x14ac:dyDescent="0.2">
      <c r="B52" s="279" t="s">
        <v>104</v>
      </c>
      <c r="C52" s="86"/>
      <c r="D52" s="130"/>
      <c r="E52" s="83">
        <v>0</v>
      </c>
      <c r="F52" s="308">
        <v>0</v>
      </c>
      <c r="G52" s="8"/>
      <c r="H52" s="13"/>
    </row>
    <row r="53" spans="2:8" ht="15" hidden="1" thickBot="1" x14ac:dyDescent="0.25">
      <c r="B53" s="279" t="s">
        <v>131</v>
      </c>
      <c r="C53" s="86"/>
      <c r="D53" s="130"/>
      <c r="E53" s="83">
        <v>0</v>
      </c>
      <c r="F53" s="308">
        <v>0</v>
      </c>
      <c r="G53" s="8"/>
      <c r="H53" s="13"/>
    </row>
    <row r="54" spans="2:8" ht="15" hidden="1" thickBot="1" x14ac:dyDescent="0.25">
      <c r="B54" s="279" t="s">
        <v>124</v>
      </c>
      <c r="C54" s="86"/>
      <c r="D54" s="130"/>
      <c r="E54" s="83">
        <v>0</v>
      </c>
      <c r="F54" s="308">
        <v>0</v>
      </c>
      <c r="G54" s="8"/>
      <c r="H54" s="13"/>
    </row>
    <row r="55" spans="2:8" ht="15" hidden="1" thickBot="1" x14ac:dyDescent="0.25">
      <c r="B55" s="279" t="s">
        <v>98</v>
      </c>
      <c r="C55" s="86"/>
      <c r="D55" s="130"/>
      <c r="E55" s="83">
        <v>0</v>
      </c>
      <c r="F55" s="308">
        <f>+E55</f>
        <v>0</v>
      </c>
      <c r="G55" s="8"/>
      <c r="H55" s="13"/>
    </row>
    <row r="56" spans="2:8" ht="15" hidden="1" thickBot="1" x14ac:dyDescent="0.25">
      <c r="B56" s="304"/>
      <c r="C56" s="132"/>
      <c r="D56" s="133"/>
      <c r="E56" s="133"/>
      <c r="F56" s="310"/>
      <c r="G56" s="8"/>
      <c r="H56" s="13"/>
    </row>
    <row r="57" spans="2:8" ht="15.75" hidden="1" customHeight="1" thickBot="1" x14ac:dyDescent="0.25">
      <c r="B57" s="356" t="s">
        <v>9</v>
      </c>
      <c r="C57" s="136"/>
      <c r="D57" s="137" t="e">
        <f>+#REF!</f>
        <v>#REF!</v>
      </c>
      <c r="E57" s="152">
        <f>SUM(E50:E56)</f>
        <v>0</v>
      </c>
      <c r="F57" s="305">
        <f>SUM(F50:F56)</f>
        <v>0</v>
      </c>
      <c r="G57" s="8"/>
      <c r="H57" s="13"/>
    </row>
    <row r="58" spans="2:8" x14ac:dyDescent="0.2">
      <c r="B58" s="306"/>
      <c r="C58" s="128"/>
      <c r="D58" s="129"/>
      <c r="E58" s="129"/>
      <c r="F58" s="297"/>
      <c r="G58" s="8"/>
      <c r="H58" s="13"/>
    </row>
    <row r="59" spans="2:8" x14ac:dyDescent="0.2">
      <c r="B59" s="307"/>
      <c r="C59" s="86"/>
      <c r="D59" s="130"/>
      <c r="E59" s="130"/>
      <c r="F59" s="299"/>
      <c r="G59" s="8"/>
      <c r="H59" s="13"/>
    </row>
    <row r="60" spans="2:8" x14ac:dyDescent="0.2">
      <c r="B60" s="309" t="s">
        <v>27</v>
      </c>
      <c r="C60" s="67"/>
      <c r="D60" s="131"/>
      <c r="E60" s="126">
        <v>116473861.27</v>
      </c>
      <c r="F60" s="312">
        <f>122742409.89+E60</f>
        <v>239216271.16</v>
      </c>
      <c r="H60" s="13"/>
    </row>
    <row r="61" spans="2:8" x14ac:dyDescent="0.2">
      <c r="B61" s="309" t="s">
        <v>96</v>
      </c>
      <c r="C61" s="67"/>
      <c r="D61" s="131"/>
      <c r="E61" s="60">
        <v>641819862.78999996</v>
      </c>
      <c r="F61" s="308">
        <f>502693006.39+16384447-1</f>
        <v>519077452.38999999</v>
      </c>
      <c r="H61" s="13"/>
    </row>
    <row r="62" spans="2:8" ht="15" thickBot="1" x14ac:dyDescent="0.25">
      <c r="B62" s="304"/>
      <c r="C62" s="132"/>
      <c r="D62" s="133"/>
      <c r="E62" s="133" t="s">
        <v>72</v>
      </c>
      <c r="F62" s="371"/>
      <c r="H62" s="13"/>
    </row>
    <row r="63" spans="2:8" ht="18" customHeight="1" thickBot="1" x14ac:dyDescent="0.25">
      <c r="B63" s="321" t="s">
        <v>198</v>
      </c>
      <c r="C63" s="313"/>
      <c r="D63" s="314" t="e">
        <f>+#REF!+#REF!</f>
        <v>#REF!</v>
      </c>
      <c r="E63" s="315">
        <f>SUM(E60:E62)</f>
        <v>758293724.05999994</v>
      </c>
      <c r="F63" s="316">
        <f>SUM(F60:F62)</f>
        <v>758293723.54999995</v>
      </c>
      <c r="H63" s="13"/>
    </row>
    <row r="64" spans="2:8" ht="15" thickTop="1" x14ac:dyDescent="0.2">
      <c r="B64" s="52"/>
      <c r="C64" s="66"/>
      <c r="D64" s="143"/>
      <c r="E64" s="143"/>
      <c r="F64" s="144"/>
      <c r="H64" s="13"/>
    </row>
    <row r="65" spans="2:8" x14ac:dyDescent="0.2">
      <c r="B65" s="52"/>
      <c r="C65" s="66"/>
      <c r="D65" s="143"/>
      <c r="E65" s="143"/>
      <c r="F65" s="144"/>
      <c r="H65" s="13"/>
    </row>
    <row r="66" spans="2:8" x14ac:dyDescent="0.2">
      <c r="B66" s="52"/>
      <c r="C66" s="66"/>
      <c r="D66" s="143"/>
      <c r="E66" s="143"/>
      <c r="F66" s="145"/>
      <c r="H66" s="13"/>
    </row>
    <row r="67" spans="2:8" x14ac:dyDescent="0.2">
      <c r="B67" s="52"/>
      <c r="C67" s="66"/>
      <c r="D67" s="143"/>
      <c r="E67" s="143"/>
      <c r="F67" s="145"/>
      <c r="H67" s="13"/>
    </row>
    <row r="68" spans="2:8" x14ac:dyDescent="0.2">
      <c r="B68" s="350" t="s">
        <v>268</v>
      </c>
      <c r="C68" s="66"/>
      <c r="D68" s="143"/>
      <c r="E68" s="402" t="s">
        <v>211</v>
      </c>
      <c r="F68" s="402"/>
      <c r="G68" s="19"/>
      <c r="H68" s="13"/>
    </row>
    <row r="69" spans="2:8" x14ac:dyDescent="0.2">
      <c r="B69" s="146" t="s">
        <v>269</v>
      </c>
      <c r="C69" s="66"/>
      <c r="D69" s="143"/>
      <c r="E69" s="403" t="s">
        <v>6</v>
      </c>
      <c r="F69" s="403"/>
      <c r="G69" s="19"/>
      <c r="H69" s="13"/>
    </row>
    <row r="70" spans="2:8" x14ac:dyDescent="0.2">
      <c r="C70" s="66"/>
      <c r="D70" s="143"/>
      <c r="E70" s="143"/>
      <c r="H70" s="13"/>
    </row>
    <row r="71" spans="2:8" x14ac:dyDescent="0.2">
      <c r="B71" s="52"/>
      <c r="C71" s="66"/>
      <c r="D71" s="143"/>
      <c r="E71" s="143"/>
      <c r="F71" s="145"/>
      <c r="H71" s="13"/>
    </row>
    <row r="72" spans="2:8" x14ac:dyDescent="0.2">
      <c r="B72" s="351" t="s">
        <v>267</v>
      </c>
      <c r="C72" s="66"/>
      <c r="D72" s="143"/>
      <c r="E72" s="143"/>
      <c r="F72" s="145"/>
      <c r="H72" s="13"/>
    </row>
    <row r="73" spans="2:8" x14ac:dyDescent="0.2">
      <c r="B73" s="401" t="s">
        <v>213</v>
      </c>
      <c r="C73" s="401"/>
      <c r="D73" s="401"/>
      <c r="E73" s="401"/>
      <c r="F73" s="401"/>
      <c r="H73" s="13"/>
    </row>
    <row r="74" spans="2:8" x14ac:dyDescent="0.2">
      <c r="H74" s="13"/>
    </row>
    <row r="75" spans="2:8" x14ac:dyDescent="0.2">
      <c r="H75" s="13"/>
    </row>
    <row r="76" spans="2:8" x14ac:dyDescent="0.2">
      <c r="H76" s="13"/>
    </row>
    <row r="77" spans="2:8" ht="13.5" customHeight="1" x14ac:dyDescent="0.2">
      <c r="H77" s="13"/>
    </row>
    <row r="78" spans="2:8" ht="14.25" customHeight="1" x14ac:dyDescent="0.2">
      <c r="H78" s="13"/>
    </row>
    <row r="79" spans="2:8" ht="13.9" customHeight="1" x14ac:dyDescent="0.2">
      <c r="H79" s="13"/>
    </row>
    <row r="80" spans="2:8" x14ac:dyDescent="0.2">
      <c r="H80" s="13"/>
    </row>
    <row r="81" spans="4:8" x14ac:dyDescent="0.2">
      <c r="H81" s="13"/>
    </row>
    <row r="82" spans="4:8" x14ac:dyDescent="0.2">
      <c r="D82" s="16"/>
      <c r="E82" s="16"/>
      <c r="H82" s="13"/>
    </row>
    <row r="83" spans="4:8" x14ac:dyDescent="0.2">
      <c r="H83" s="13"/>
    </row>
    <row r="84" spans="4:8" x14ac:dyDescent="0.2">
      <c r="H84" s="13"/>
    </row>
    <row r="85" spans="4:8" x14ac:dyDescent="0.2">
      <c r="H85" s="13"/>
    </row>
    <row r="86" spans="4:8" x14ac:dyDescent="0.2">
      <c r="H86" s="13"/>
    </row>
    <row r="87" spans="4:8" x14ac:dyDescent="0.2">
      <c r="H87" s="13"/>
    </row>
    <row r="88" spans="4:8" x14ac:dyDescent="0.2">
      <c r="H88" s="13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2022-03-14T12:21:57Z</cp:lastPrinted>
  <dcterms:created xsi:type="dcterms:W3CDTF">2005-02-18T21:21:25Z</dcterms:created>
  <dcterms:modified xsi:type="dcterms:W3CDTF">2022-03-15T19:49:16Z</dcterms:modified>
</cp:coreProperties>
</file>