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706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D25" i="11" l="1"/>
  <c r="F43" i="31" l="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1" i="31"/>
  <c r="F61" i="31"/>
  <c r="G74" i="23" l="1"/>
  <c r="F34" i="11" l="1"/>
  <c r="G73" i="23" l="1"/>
  <c r="F52" i="10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G72" i="23"/>
  <c r="G81" i="23" s="1"/>
  <c r="F26" i="10" s="1"/>
  <c r="F29" i="10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J22" i="10"/>
  <c r="J31" i="10" s="1"/>
  <c r="L57" i="166"/>
  <c r="L49" i="166"/>
  <c r="L48" i="166"/>
  <c r="L47" i="166"/>
  <c r="L44" i="166"/>
  <c r="I72" i="23" l="1"/>
  <c r="I81" i="23" s="1"/>
  <c r="F14" i="10"/>
  <c r="H30" i="23"/>
  <c r="F42" i="11"/>
  <c r="F38" i="10"/>
  <c r="F46" i="10" s="1"/>
  <c r="F54" i="10" s="1"/>
  <c r="H31" i="10"/>
  <c r="H44" i="23"/>
  <c r="F40" i="11"/>
  <c r="D40" i="11"/>
  <c r="H46" i="10"/>
  <c r="D42" i="11" l="1"/>
  <c r="F19" i="31"/>
  <c r="F34" i="31" s="1"/>
  <c r="F15" i="10"/>
  <c r="H54" i="10"/>
  <c r="F23" i="10" l="1"/>
  <c r="H75" i="10"/>
  <c r="E19" i="31"/>
  <c r="F31" i="10" l="1"/>
  <c r="E34" i="3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<sst xmlns="http://schemas.openxmlformats.org/spreadsheetml/2006/main" count="299" uniqueCount="281">
  <si>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</si>
  <si>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</si>
  <si>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</si>
  <si>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</si>
  <si>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</si>
  <si>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</si>
  <si>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</si>
  <si>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</si>
  <si>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</si>
  <si>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</si>
  <si>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</si>
  <si>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</si>
  <si>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</si>
  <si>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</si>
  <si>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</si>
  <si>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</si>
  <si>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</si>
  <si>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</si>
  <si>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</si>
  <si>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</si>
  <si>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</si>
  <si>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</si>
  <si>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</si>
  <si>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</si>
  <si>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</si>
  <si>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</si>
  <si>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</si>
  <si>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</si>
  <si>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</si>
  <si>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</si>
  <si>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</si>
  <si>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</si>
  <si>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</si>
  <si>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</si>
  <si>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</si>
  <si>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</si>
  <si>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</si>
  <si>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</si>
  <si>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</si>
  <si>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</si>
  <si>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</si>
  <si>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</si>
  <si>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</si>
  <si>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</si>
  <si>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</si>
  <si>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</si>
  <si>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</si>
  <si>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</si>
  <si>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</si>
  <si>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</si>
  <si>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</si>
  <si>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</si>
  <si>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</si>
  <si>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</si>
  <si>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</si>
  <si>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</si>
  <si>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</si>
  <si>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</si>
  <si>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</si>
  <si>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</si>
  <si>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</si>
  <si>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</si>
  <si>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</si>
  <si>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</si>
  <si>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</si>
  <si>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</si>
  <si>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</si>
  <si>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</si>
  <si>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</si>
  <si>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</si>
  <si>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</si>
  <si>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</si>
  <si>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</si>
  <si>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</si>
  <si>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</si>
  <si>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</si>
  <si>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</si>
  <si>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</si>
  <si>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</si>
  <si>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</si>
  <si>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</si>
  <si>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</si>
  <si>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</si>
  <si>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</si>
  <si>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</si>
  <si>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</si>
  <si>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</si>
  <si>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</si>
  <si>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</si>
  <si>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</si>
  <si>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</si>
  <si>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</si>
  <si>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</si>
  <si>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</si>
  <si>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</si>
  <si>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</si>
  <si>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</si>
  <si>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</si>
  <si>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</si>
  <si>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</si>
  <si>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</si>
  <si>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</si>
  <si>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</si>
  <si>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</si>
  <si>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</si>
  <si>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</si>
  <si>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</si>
  <si>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</si>
  <si>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</si>
  <si>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</si>
  <si>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</si>
  <si>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</si>
  <si>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</si>
  <si>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</si>
  <si>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</si>
  <si>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</si>
  <si>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</si>
  <si>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</si>
  <si>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</si>
  <si>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</si>
  <si>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</si>
  <si>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</si>
  <si>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</si>
  <si>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</si>
  <si>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</si>
  <si>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</si>
  <si>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</si>
  <si>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</si>
  <si>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</si>
  <si>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</si>
  <si>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</si>
  <si>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</si>
  <si>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</si>
  <si>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</si>
  <si>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</si>
  <si>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</si>
  <si>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</si>
  <si>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</si>
  <si>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</si>
  <si>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</si>
  <si>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</si>
  <si>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</si>
  <si>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</si>
  <si>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</si>
  <si>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</si>
  <si>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</si>
  <si>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</si>
  <si>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</si>
  <si>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</si>
  <si>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</si>
  <si>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</si>
  <si>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</si>
  <si>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</si>
  <si>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</si>
  <si>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</si>
  <si>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</si>
  <si>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</si>
  <si>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</si>
  <si>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</si>
  <si>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</si>
  <si>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</si>
  <si>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</si>
  <si>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</si>
  <si>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</si>
  <si>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</si>
  <si>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</si>
  <si>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</si>
  <si>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</si>
  <si>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</si>
  <si>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</si>
  <si>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</si>
  <si>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</si>
  <si>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</si>
  <si>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</si>
  <si>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</si>
  <si>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</si>
  <si>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</si>
  <si>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</si>
  <si>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</si>
  <si>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</si>
  <si>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</si>
  <si>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</si>
  <si>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</si>
  <si>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</si>
  <si>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</si>
  <si>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</si>
  <si>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</si>
  <si>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</si>
  <si>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</si>
  <si>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</si>
  <si>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</si>
  <si>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</si>
  <si>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</si>
  <si>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</si>
  <si>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</si>
  <si>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</si>
  <si>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</si>
  <si>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</si>
  <si>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</si>
  <si>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</si>
  <si>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</si>
  <si>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</si>
  <si>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</si>
  <si>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</si>
  <si>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</si>
  <si>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</si>
  <si>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</si>
  <si>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</si>
  <si>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</si>
  <si>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</si>
  <si>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</si>
  <si>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</si>
  <si>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</si>
  <si>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</si>
  <si>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</si>
  <si>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</si>
  <si>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</si>
  <si>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</si>
  <si>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</si>
  <si>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</si>
  <si>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</si>
  <si>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</si>
  <si>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</si>
  <si>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</si>
  <si>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</si>
  <si>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</si>
  <si>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</si>
  <si>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</si>
  <si>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</si>
  <si>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</si>
  <si>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</si>
  <si>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</si>
  <si>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</si>
  <si>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</si>
  <si>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</si>
  <si>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</si>
  <si>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</si>
  <si>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</si>
  <si>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</si>
  <si>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</si>
  <si>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</si>
  <si>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</si>
  <si>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</si>
  <si>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</si>
  <si>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</si>
  <si>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</si>
  <si>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</si>
  <si>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</si>
  <si>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</si>
  <si>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</si>
  <si>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</si>
  <si>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</si>
  <si>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</si>
  <si>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</si>
  <si>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</si>
  <si>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</si>
  <si>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</si>
  <si>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</si>
  <si>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</si>
  <si>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</si>
  <si>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</si>
  <si>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</si>
  <si>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</si>
  <si>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</si>
  <si>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</si>
  <si>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</si>
  <si>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</si>
  <si>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</si>
  <si>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</si>
  <si>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</si>
  <si>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</si>
  <si>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</si>
  <si>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Al 31 DE OCTUBRE 2021</t>
  </si>
  <si>
    <t>AL 31 OCTUBRE 2021</t>
  </si>
  <si>
    <t>DEL 01 DE ENERO AL 31 DE OCTUBRE 2021</t>
  </si>
  <si>
    <t>Octubre</t>
  </si>
  <si>
    <t>Al 31 de octubre 2021, ésta cuenta se desglosa como sigue:</t>
  </si>
  <si>
    <t>Las cuentas por pagar proveedores al 31 de octubre del 2021 de la SISALRIL.</t>
  </si>
  <si>
    <t>La cuenta Obligaciones por pagar al 31 de octubre 2021 de la SISALRIL, se desglosan de la siguiente manera:</t>
  </si>
  <si>
    <t>La cuenta Retenciones y Contribuciones por pagar al 31 de octubre del 2021, se desglosan de la siguiente manera:</t>
  </si>
  <si>
    <t>Estos recursos están formados por dos partidas, las cuales una de ella representada por un valor ascendente por RD$160,316,760.00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</si>
</sst>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  <numFmt numFmtId="176" formatCode="_-* #,##0.0_-;\-* #,##0.0_-;_-* &quot;-&quot;?_-;_-@_-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76" fontId="46" fillId="25" borderId="0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L3" sqref="L3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5"/>
      <c r="D6" s="385"/>
      <c r="E6" s="385"/>
      <c r="F6" s="385"/>
      <c r="G6" s="385"/>
      <c r="H6" s="385"/>
      <c r="I6" s="385"/>
      <c r="J6" s="386"/>
      <c r="K6" s="27"/>
    </row>
    <row r="7" spans="2:21" x14ac:dyDescent="0.2">
      <c r="B7" s="28"/>
      <c r="C7" s="385" t="s">
        <v>13</v>
      </c>
      <c r="D7" s="385"/>
      <c r="E7" s="385"/>
      <c r="F7" s="385"/>
      <c r="G7" s="385"/>
      <c r="H7" s="385"/>
      <c r="I7" s="385"/>
      <c r="J7" s="386"/>
      <c r="K7" s="27"/>
    </row>
    <row r="8" spans="2:21" x14ac:dyDescent="0.2">
      <c r="B8" s="28"/>
      <c r="C8" s="385" t="s">
        <v>272</v>
      </c>
      <c r="D8" s="385"/>
      <c r="E8" s="385"/>
      <c r="F8" s="385"/>
      <c r="G8" s="385"/>
      <c r="H8" s="385"/>
      <c r="I8" s="385"/>
      <c r="J8" s="386"/>
      <c r="K8" s="27"/>
    </row>
    <row r="9" spans="2:21" x14ac:dyDescent="0.2">
      <c r="B9" s="28"/>
      <c r="C9" s="385"/>
      <c r="D9" s="385"/>
      <c r="E9" s="385"/>
      <c r="F9" s="385"/>
      <c r="G9" s="385"/>
      <c r="H9" s="385"/>
      <c r="I9" s="385"/>
      <c r="J9" s="386"/>
      <c r="K9" s="27"/>
    </row>
    <row r="10" spans="2:21" ht="15" thickBot="1" x14ac:dyDescent="0.25">
      <c r="B10" s="380"/>
      <c r="C10" s="381"/>
      <c r="D10" s="381"/>
      <c r="E10" s="381"/>
      <c r="F10" s="381"/>
      <c r="G10" s="381"/>
      <c r="H10" s="381"/>
      <c r="I10" s="381"/>
      <c r="J10" s="382"/>
      <c r="K10" s="27"/>
    </row>
    <row r="11" spans="2:21" x14ac:dyDescent="0.2">
      <c r="B11" s="72"/>
      <c r="C11" s="78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116</v>
      </c>
      <c r="D13" s="188" t="s">
        <v>239</v>
      </c>
      <c r="E13" s="188"/>
      <c r="F13" s="188"/>
      <c r="G13" s="189"/>
      <c r="H13" s="189"/>
      <c r="I13" s="189"/>
      <c r="J13" s="77"/>
      <c r="K13" s="27"/>
      <c r="M13" s="387"/>
      <c r="N13" s="387"/>
      <c r="O13" s="387"/>
      <c r="P13" s="387"/>
      <c r="Q13" s="387"/>
      <c r="R13" s="387"/>
      <c r="S13" s="387"/>
      <c r="T13" s="387"/>
      <c r="U13" s="387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227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226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228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229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232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233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234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49</v>
      </c>
      <c r="D25" s="188" t="s">
        <v>220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240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50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255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48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51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241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52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221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256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223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242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224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225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243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53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54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230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231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222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252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253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254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238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235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244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55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259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260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236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261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262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245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237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L165"/>
  <sheetViews>
    <sheetView tabSelected="1" zoomScale="110" zoomScaleNormal="110" workbookViewId="0">
      <selection activeCell="O23" sqref="O2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63"/>
      <c r="D3" s="264"/>
      <c r="E3" s="264"/>
      <c r="F3" s="264"/>
      <c r="G3" s="264"/>
      <c r="H3" s="264"/>
      <c r="I3" s="264"/>
      <c r="J3" s="264"/>
      <c r="K3" s="265"/>
    </row>
    <row r="4" spans="3:11" x14ac:dyDescent="0.2">
      <c r="C4" s="266"/>
      <c r="D4" s="394"/>
      <c r="E4" s="394"/>
      <c r="F4" s="394"/>
      <c r="G4" s="394"/>
      <c r="H4" s="394"/>
      <c r="I4" s="394"/>
      <c r="J4" s="394"/>
      <c r="K4" s="267"/>
    </row>
    <row r="5" spans="3:11" x14ac:dyDescent="0.2">
      <c r="C5" s="266"/>
      <c r="D5" s="394"/>
      <c r="E5" s="394"/>
      <c r="F5" s="394"/>
      <c r="G5" s="394"/>
      <c r="H5" s="394"/>
      <c r="I5" s="394"/>
      <c r="J5" s="394"/>
      <c r="K5" s="267"/>
    </row>
    <row r="6" spans="3:11" x14ac:dyDescent="0.2">
      <c r="C6" s="388" t="s">
        <v>191</v>
      </c>
      <c r="D6" s="389"/>
      <c r="E6" s="389"/>
      <c r="F6" s="389"/>
      <c r="G6" s="389"/>
      <c r="H6" s="389"/>
      <c r="I6" s="389"/>
      <c r="J6" s="389"/>
      <c r="K6" s="390"/>
    </row>
    <row r="7" spans="3:11" x14ac:dyDescent="0.2">
      <c r="C7" s="388" t="s">
        <v>273</v>
      </c>
      <c r="D7" s="389"/>
      <c r="E7" s="389"/>
      <c r="F7" s="389"/>
      <c r="G7" s="389"/>
      <c r="H7" s="389"/>
      <c r="I7" s="389"/>
      <c r="J7" s="389"/>
      <c r="K7" s="390"/>
    </row>
    <row r="8" spans="3:11" x14ac:dyDescent="0.2">
      <c r="C8" s="388" t="s">
        <v>168</v>
      </c>
      <c r="D8" s="389"/>
      <c r="E8" s="389"/>
      <c r="F8" s="389"/>
      <c r="G8" s="389"/>
      <c r="H8" s="389"/>
      <c r="I8" s="389"/>
      <c r="J8" s="389"/>
      <c r="K8" s="390"/>
    </row>
    <row r="9" spans="3:11" ht="15.75" thickBot="1" x14ac:dyDescent="0.25">
      <c r="C9" s="391"/>
      <c r="D9" s="392"/>
      <c r="E9" s="392"/>
      <c r="F9" s="392"/>
      <c r="G9" s="392"/>
      <c r="H9" s="392"/>
      <c r="I9" s="392"/>
      <c r="J9" s="392"/>
      <c r="K9" s="393"/>
    </row>
    <row r="10" spans="3:11" ht="6" customHeight="1" x14ac:dyDescent="0.2">
      <c r="C10" s="268"/>
      <c r="D10" s="220"/>
      <c r="E10" s="220"/>
      <c r="F10" s="220"/>
      <c r="G10" s="220"/>
      <c r="H10" s="220"/>
      <c r="I10" s="220"/>
      <c r="J10" s="220"/>
      <c r="K10" s="269"/>
    </row>
    <row r="11" spans="3:11" ht="18.600000000000001" customHeight="1" x14ac:dyDescent="0.2">
      <c r="C11" s="268"/>
      <c r="D11" s="51" t="s">
        <v>172</v>
      </c>
      <c r="E11" s="221"/>
      <c r="F11" s="319">
        <v>2021</v>
      </c>
      <c r="G11" s="222"/>
      <c r="H11" s="319">
        <v>2020</v>
      </c>
      <c r="I11" s="218"/>
      <c r="J11" s="222" t="s">
        <v>61</v>
      </c>
      <c r="K11" s="270"/>
    </row>
    <row r="12" spans="3:11" ht="3.6" customHeight="1" x14ac:dyDescent="0.2">
      <c r="C12" s="268"/>
      <c r="D12" s="221"/>
      <c r="E12" s="221"/>
      <c r="F12" s="218"/>
      <c r="G12" s="222"/>
      <c r="H12" s="222"/>
      <c r="I12" s="218"/>
      <c r="J12" s="222"/>
      <c r="K12" s="270"/>
    </row>
    <row r="13" spans="3:11" ht="15.6" customHeight="1" x14ac:dyDescent="0.2">
      <c r="C13" s="268"/>
      <c r="D13" s="59" t="s">
        <v>22</v>
      </c>
      <c r="E13" s="218"/>
      <c r="F13" s="218"/>
      <c r="G13" s="218"/>
      <c r="H13" s="223"/>
      <c r="I13" s="218"/>
      <c r="J13" s="218"/>
      <c r="K13" s="270"/>
    </row>
    <row r="14" spans="3:11" x14ac:dyDescent="0.2">
      <c r="C14" s="268"/>
      <c r="D14" s="218" t="s">
        <v>23</v>
      </c>
      <c r="E14" s="218"/>
      <c r="F14" s="339">
        <f>+'NOTAS   '!H22+'NOTAS   '!H28</f>
        <v>40370667.920000009</v>
      </c>
      <c r="G14" s="218"/>
      <c r="H14" s="339">
        <v>28218041</v>
      </c>
      <c r="I14" s="218"/>
      <c r="J14" s="225">
        <v>1462536.8</v>
      </c>
      <c r="K14" s="270"/>
    </row>
    <row r="15" spans="3:11" x14ac:dyDescent="0.2">
      <c r="C15" s="268"/>
      <c r="D15" s="218" t="s">
        <v>263</v>
      </c>
      <c r="E15" s="218"/>
      <c r="F15" s="339">
        <f>+'NOTAS   '!H44</f>
        <v>160316759.73999998</v>
      </c>
      <c r="G15" s="218"/>
      <c r="H15" s="339">
        <v>187510606</v>
      </c>
      <c r="I15" s="218"/>
      <c r="J15" s="225"/>
      <c r="K15" s="270"/>
    </row>
    <row r="16" spans="3:11" x14ac:dyDescent="0.2">
      <c r="C16" s="268"/>
      <c r="D16" s="218" t="s">
        <v>24</v>
      </c>
      <c r="E16" s="218"/>
      <c r="F16" s="339">
        <v>2797749</v>
      </c>
      <c r="G16" s="218"/>
      <c r="H16" s="339">
        <v>2797749</v>
      </c>
      <c r="I16" s="218"/>
      <c r="J16" s="225"/>
      <c r="K16" s="270"/>
    </row>
    <row r="17" spans="3:11" x14ac:dyDescent="0.2">
      <c r="C17" s="268"/>
      <c r="D17" s="218" t="s">
        <v>47</v>
      </c>
      <c r="E17" s="218"/>
      <c r="F17" s="339">
        <v>680313.40999999968</v>
      </c>
      <c r="G17" s="218"/>
      <c r="H17" s="339">
        <v>528064</v>
      </c>
      <c r="I17" s="218"/>
      <c r="J17" s="225"/>
      <c r="K17" s="270"/>
    </row>
    <row r="18" spans="3:11" x14ac:dyDescent="0.2">
      <c r="C18" s="268"/>
      <c r="D18" s="218" t="s">
        <v>181</v>
      </c>
      <c r="E18" s="218"/>
      <c r="F18" s="339">
        <v>2909265.72</v>
      </c>
      <c r="G18" s="227"/>
      <c r="H18" s="339">
        <v>2547404</v>
      </c>
      <c r="I18" s="218"/>
      <c r="J18" s="227"/>
      <c r="K18" s="270"/>
    </row>
    <row r="19" spans="3:11" x14ac:dyDescent="0.2">
      <c r="C19" s="268"/>
      <c r="D19" s="218" t="s">
        <v>25</v>
      </c>
      <c r="E19" s="218"/>
      <c r="F19" s="339">
        <f>+'NOTAS   '!H57</f>
        <v>2630626.54</v>
      </c>
      <c r="G19" s="227"/>
      <c r="H19" s="339">
        <v>7998124</v>
      </c>
      <c r="I19" s="218"/>
      <c r="J19" s="227"/>
      <c r="K19" s="270"/>
    </row>
    <row r="20" spans="3:11" x14ac:dyDescent="0.2">
      <c r="C20" s="268"/>
      <c r="D20" s="218" t="s">
        <v>63</v>
      </c>
      <c r="E20" s="218"/>
      <c r="F20" s="339">
        <v>259808374.34</v>
      </c>
      <c r="G20" s="227"/>
      <c r="H20" s="339">
        <v>176856022</v>
      </c>
      <c r="I20" s="218"/>
      <c r="J20" s="227"/>
      <c r="K20" s="270"/>
    </row>
    <row r="21" spans="3:11" x14ac:dyDescent="0.2">
      <c r="C21" s="268"/>
      <c r="D21" s="218" t="s">
        <v>26</v>
      </c>
      <c r="E21" s="218"/>
      <c r="F21" s="339">
        <v>162697042.07999998</v>
      </c>
      <c r="G21" s="227"/>
      <c r="H21" s="339">
        <v>201400000</v>
      </c>
      <c r="I21" s="218"/>
      <c r="J21" s="227"/>
      <c r="K21" s="270"/>
    </row>
    <row r="22" spans="3:11" x14ac:dyDescent="0.2">
      <c r="C22" s="268"/>
      <c r="D22" s="218" t="s">
        <v>64</v>
      </c>
      <c r="E22" s="218"/>
      <c r="F22" s="340">
        <v>116700000</v>
      </c>
      <c r="G22" s="218"/>
      <c r="H22" s="340">
        <v>220887000</v>
      </c>
      <c r="I22" s="218"/>
      <c r="J22" s="225">
        <f>SUM(J19:J20)</f>
        <v>0</v>
      </c>
      <c r="K22" s="270"/>
    </row>
    <row r="23" spans="3:11" x14ac:dyDescent="0.2">
      <c r="C23" s="268"/>
      <c r="D23" s="185" t="s">
        <v>205</v>
      </c>
      <c r="E23" s="218"/>
      <c r="F23" s="55">
        <f>SUM(F14:F22)</f>
        <v>748910798.75</v>
      </c>
      <c r="G23" s="218"/>
      <c r="H23" s="262">
        <f>SUM(H14:H22)</f>
        <v>828743010</v>
      </c>
      <c r="I23" s="218"/>
      <c r="J23" s="218"/>
      <c r="K23" s="270"/>
    </row>
    <row r="24" spans="3:11" x14ac:dyDescent="0.2">
      <c r="C24" s="268"/>
      <c r="D24" s="318"/>
      <c r="E24" s="218"/>
      <c r="F24" s="223"/>
      <c r="G24" s="218"/>
      <c r="H24" s="224"/>
      <c r="I24" s="218"/>
      <c r="J24" s="218"/>
      <c r="K24" s="270"/>
    </row>
    <row r="25" spans="3:11" x14ac:dyDescent="0.2">
      <c r="C25" s="268"/>
      <c r="D25" s="51" t="s">
        <v>30</v>
      </c>
      <c r="E25" s="218"/>
      <c r="F25" s="218"/>
      <c r="G25" s="228"/>
      <c r="H25" s="229"/>
      <c r="I25" s="218"/>
      <c r="J25" s="227">
        <v>399912.37</v>
      </c>
      <c r="K25" s="270"/>
    </row>
    <row r="26" spans="3:11" x14ac:dyDescent="0.2">
      <c r="C26" s="268"/>
      <c r="D26" s="218" t="s">
        <v>27</v>
      </c>
      <c r="E26" s="226"/>
      <c r="F26" s="219">
        <f>+'NOTAS   '!G81</f>
        <v>486157116.5</v>
      </c>
      <c r="G26" s="218"/>
      <c r="H26" s="219">
        <v>477750640</v>
      </c>
      <c r="I26" s="218"/>
      <c r="J26" s="227"/>
      <c r="K26" s="270"/>
    </row>
    <row r="27" spans="3:11" ht="14.45" customHeight="1" x14ac:dyDescent="0.2">
      <c r="C27" s="268"/>
      <c r="D27" s="218" t="s">
        <v>187</v>
      </c>
      <c r="E27" s="218"/>
      <c r="F27" s="234">
        <f>-'NOTAS   '!H81</f>
        <v>-156062787.44</v>
      </c>
      <c r="G27" s="218"/>
      <c r="H27" s="234">
        <v>-143378712</v>
      </c>
      <c r="I27" s="218"/>
      <c r="J27" s="227"/>
      <c r="K27" s="270"/>
    </row>
    <row r="28" spans="3:11" ht="13.9" customHeight="1" x14ac:dyDescent="0.2">
      <c r="C28" s="268"/>
      <c r="D28" s="218" t="s">
        <v>184</v>
      </c>
      <c r="E28" s="218"/>
      <c r="F28" s="232">
        <v>607392.04</v>
      </c>
      <c r="G28" s="218"/>
      <c r="H28" s="330">
        <v>507392</v>
      </c>
      <c r="I28" s="218"/>
      <c r="J28" s="227"/>
      <c r="K28" s="270"/>
    </row>
    <row r="29" spans="3:11" ht="17.25" customHeight="1" x14ac:dyDescent="0.2">
      <c r="C29" s="268"/>
      <c r="D29" s="185" t="s">
        <v>206</v>
      </c>
      <c r="E29" s="230"/>
      <c r="F29" s="216">
        <f>SUM(F26:F28)</f>
        <v>330701721.10000002</v>
      </c>
      <c r="G29" s="218"/>
      <c r="H29" s="262">
        <f>SUM(H26:H28)</f>
        <v>334879320</v>
      </c>
      <c r="I29" s="218"/>
      <c r="J29" s="227"/>
      <c r="K29" s="270"/>
    </row>
    <row r="30" spans="3:11" ht="17.25" customHeight="1" x14ac:dyDescent="0.2">
      <c r="C30" s="268"/>
      <c r="D30" s="218"/>
      <c r="E30" s="218"/>
      <c r="F30" s="218"/>
      <c r="G30" s="218"/>
      <c r="H30" s="224"/>
      <c r="I30" s="218"/>
      <c r="J30" s="225">
        <f>SUM(J25:J25)</f>
        <v>399912.37</v>
      </c>
      <c r="K30" s="270"/>
    </row>
    <row r="31" spans="3:11" ht="16.149999999999999" customHeight="1" thickBot="1" x14ac:dyDescent="0.25">
      <c r="C31" s="268"/>
      <c r="D31" s="185" t="s">
        <v>38</v>
      </c>
      <c r="E31" s="218"/>
      <c r="F31" s="175">
        <f>+F29+F23</f>
        <v>1079612519.8499999</v>
      </c>
      <c r="G31" s="317"/>
      <c r="H31" s="175">
        <f>+H23+H29</f>
        <v>1163622330</v>
      </c>
      <c r="I31" s="218"/>
      <c r="J31" s="233">
        <f>+J14+J22+J30</f>
        <v>1862449.17</v>
      </c>
      <c r="K31" s="270"/>
    </row>
    <row r="32" spans="3:11" ht="10.9" customHeight="1" thickTop="1" x14ac:dyDescent="0.2">
      <c r="C32" s="268"/>
      <c r="D32" s="218"/>
      <c r="E32" s="218"/>
      <c r="F32" s="218"/>
      <c r="G32" s="218"/>
      <c r="H32" s="225"/>
      <c r="I32" s="218"/>
      <c r="J32" s="218"/>
      <c r="K32" s="270"/>
    </row>
    <row r="33" spans="3:12" ht="16.899999999999999" customHeight="1" x14ac:dyDescent="0.2">
      <c r="C33" s="268"/>
      <c r="D33" s="51" t="s">
        <v>29</v>
      </c>
      <c r="E33" s="218"/>
      <c r="F33" s="327"/>
      <c r="G33" s="227"/>
      <c r="H33" s="223"/>
      <c r="I33" s="218"/>
      <c r="J33" s="232">
        <v>-9259239.8100000005</v>
      </c>
      <c r="K33" s="270"/>
    </row>
    <row r="34" spans="3:12" ht="17.45" customHeight="1" x14ac:dyDescent="0.2">
      <c r="C34" s="268"/>
      <c r="D34" s="226" t="s">
        <v>35</v>
      </c>
      <c r="E34" s="218"/>
      <c r="F34" s="225"/>
      <c r="G34" s="218"/>
      <c r="H34" s="218"/>
      <c r="I34" s="218"/>
      <c r="J34" s="227"/>
      <c r="K34" s="270"/>
    </row>
    <row r="35" spans="3:12" ht="12.6" customHeight="1" x14ac:dyDescent="0.2">
      <c r="C35" s="271"/>
      <c r="D35" s="218" t="s">
        <v>33</v>
      </c>
      <c r="E35" s="226"/>
      <c r="F35" s="235">
        <f>+'NOTAS   '!H120</f>
        <v>19282714.370000001</v>
      </c>
      <c r="G35" s="218"/>
      <c r="H35" s="235">
        <v>1928410</v>
      </c>
      <c r="I35" s="218"/>
      <c r="J35" s="218"/>
      <c r="K35" s="270"/>
    </row>
    <row r="36" spans="3:12" ht="13.9" customHeight="1" x14ac:dyDescent="0.2">
      <c r="C36" s="271"/>
      <c r="D36" s="218" t="s">
        <v>32</v>
      </c>
      <c r="E36" s="226"/>
      <c r="F36" s="235">
        <f>+'NOTAS   '!H146</f>
        <v>65754057.32</v>
      </c>
      <c r="G36" s="222"/>
      <c r="H36" s="235">
        <v>57962409</v>
      </c>
      <c r="I36" s="218"/>
      <c r="J36" s="222" t="s">
        <v>61</v>
      </c>
      <c r="K36" s="270"/>
    </row>
    <row r="37" spans="3:12" ht="12.6" customHeight="1" x14ac:dyDescent="0.2">
      <c r="C37" s="271"/>
      <c r="D37" s="218" t="s">
        <v>123</v>
      </c>
      <c r="E37" s="226"/>
      <c r="F37" s="383">
        <v>34782</v>
      </c>
      <c r="G37" s="222"/>
      <c r="H37" s="236">
        <v>24452</v>
      </c>
      <c r="I37" s="218"/>
      <c r="J37" s="222"/>
      <c r="K37" s="270"/>
    </row>
    <row r="38" spans="3:12" ht="15" customHeight="1" x14ac:dyDescent="0.2">
      <c r="C38" s="271"/>
      <c r="D38" s="185" t="s">
        <v>203</v>
      </c>
      <c r="E38" s="218"/>
      <c r="F38" s="55">
        <f>SUM(F35:F37)</f>
        <v>85071553.689999998</v>
      </c>
      <c r="G38" s="227"/>
      <c r="H38" s="138">
        <f>SUM(H35:H37)</f>
        <v>59915271</v>
      </c>
      <c r="I38" s="218"/>
      <c r="J38" s="227"/>
      <c r="K38" s="270"/>
      <c r="L38" s="140"/>
    </row>
    <row r="39" spans="3:12" ht="12" customHeight="1" x14ac:dyDescent="0.2">
      <c r="C39" s="271"/>
      <c r="D39" s="218"/>
      <c r="E39" s="218"/>
      <c r="F39" s="218"/>
      <c r="G39" s="227"/>
      <c r="H39" s="227"/>
      <c r="I39" s="218"/>
      <c r="J39" s="227"/>
      <c r="K39" s="270"/>
      <c r="L39" s="140"/>
    </row>
    <row r="40" spans="3:12" x14ac:dyDescent="0.2">
      <c r="C40" s="271"/>
      <c r="D40" s="51" t="s">
        <v>34</v>
      </c>
      <c r="E40" s="218"/>
      <c r="F40" s="218"/>
      <c r="G40" s="227"/>
      <c r="H40" s="227"/>
      <c r="I40" s="218"/>
      <c r="J40" s="227"/>
      <c r="K40" s="270"/>
      <c r="L40" s="140"/>
    </row>
    <row r="41" spans="3:12" x14ac:dyDescent="0.2">
      <c r="C41" s="271"/>
      <c r="D41" s="218" t="s">
        <v>31</v>
      </c>
      <c r="E41" s="226"/>
      <c r="F41" s="235">
        <f>+'NOTAS   '!H127</f>
        <v>272247016.31</v>
      </c>
      <c r="G41" s="227"/>
      <c r="H41" s="227">
        <v>388401549</v>
      </c>
      <c r="I41" s="218"/>
      <c r="J41" s="227"/>
      <c r="K41" s="270"/>
      <c r="L41" s="140"/>
    </row>
    <row r="42" spans="3:12" ht="12.6" customHeight="1" x14ac:dyDescent="0.2">
      <c r="C42" s="271"/>
      <c r="D42" s="218" t="s">
        <v>157</v>
      </c>
      <c r="E42" s="226"/>
      <c r="F42" s="235">
        <v>6289664</v>
      </c>
      <c r="G42" s="227"/>
      <c r="H42" s="227">
        <v>719944</v>
      </c>
      <c r="I42" s="218"/>
      <c r="J42" s="227"/>
      <c r="K42" s="270"/>
      <c r="L42" s="140"/>
    </row>
    <row r="43" spans="3:12" ht="13.5" customHeight="1" x14ac:dyDescent="0.2">
      <c r="C43" s="271"/>
      <c r="D43" s="218" t="s">
        <v>158</v>
      </c>
      <c r="E43" s="226"/>
      <c r="F43" s="236">
        <v>161300000</v>
      </c>
      <c r="G43" s="227"/>
      <c r="H43" s="232">
        <v>220887000</v>
      </c>
      <c r="I43" s="218"/>
      <c r="J43" s="227"/>
      <c r="K43" s="270"/>
      <c r="L43" s="140"/>
    </row>
    <row r="44" spans="3:12" ht="14.45" customHeight="1" x14ac:dyDescent="0.2">
      <c r="C44" s="271"/>
      <c r="D44" s="185" t="s">
        <v>192</v>
      </c>
      <c r="E44" s="218"/>
      <c r="F44" s="374">
        <f>SUM(F41:F43)</f>
        <v>439836680.31</v>
      </c>
      <c r="G44" s="227"/>
      <c r="H44" s="55">
        <f>SUM(H41:H43)</f>
        <v>610008493</v>
      </c>
      <c r="I44" s="218"/>
      <c r="J44" s="227"/>
      <c r="K44" s="270"/>
      <c r="L44" s="140"/>
    </row>
    <row r="45" spans="3:12" ht="6.6" customHeight="1" x14ac:dyDescent="0.2">
      <c r="C45" s="271"/>
      <c r="D45" s="318"/>
      <c r="E45" s="218"/>
      <c r="F45" s="223"/>
      <c r="G45" s="227"/>
      <c r="H45" s="246"/>
      <c r="I45" s="218"/>
      <c r="J45" s="227"/>
      <c r="K45" s="270"/>
      <c r="L45" s="140"/>
    </row>
    <row r="46" spans="3:12" ht="18.75" customHeight="1" thickBot="1" x14ac:dyDescent="0.25">
      <c r="C46" s="271"/>
      <c r="D46" s="185" t="s">
        <v>39</v>
      </c>
      <c r="E46" s="230"/>
      <c r="F46" s="249">
        <f>+F38+F44</f>
        <v>524908234</v>
      </c>
      <c r="G46" s="227"/>
      <c r="H46" s="249">
        <f>+H38+H44</f>
        <v>669923764</v>
      </c>
      <c r="I46" s="218"/>
      <c r="J46" s="227"/>
      <c r="K46" s="270"/>
      <c r="L46" s="140"/>
    </row>
    <row r="47" spans="3:12" ht="10.9" customHeight="1" thickTop="1" x14ac:dyDescent="0.2">
      <c r="C47" s="271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70"/>
      <c r="L47" s="140"/>
    </row>
    <row r="48" spans="3:12" ht="13.9" customHeight="1" x14ac:dyDescent="0.2">
      <c r="C48" s="271"/>
      <c r="D48" s="59" t="s">
        <v>193</v>
      </c>
      <c r="E48" s="218"/>
      <c r="F48" s="227"/>
      <c r="G48" s="227"/>
      <c r="H48" s="218"/>
      <c r="I48" s="218"/>
      <c r="J48" s="218"/>
      <c r="K48" s="270"/>
      <c r="L48" s="140"/>
    </row>
    <row r="49" spans="3:12" x14ac:dyDescent="0.2">
      <c r="C49" s="271"/>
      <c r="D49" s="218" t="s">
        <v>44</v>
      </c>
      <c r="E49" s="218"/>
      <c r="F49" s="219">
        <v>94403309</v>
      </c>
      <c r="G49" s="227"/>
      <c r="H49" s="219">
        <v>101467632</v>
      </c>
      <c r="I49" s="218"/>
      <c r="J49" s="232">
        <v>53367236.979999997</v>
      </c>
      <c r="K49" s="270"/>
      <c r="L49" s="140"/>
    </row>
    <row r="50" spans="3:12" x14ac:dyDescent="0.2">
      <c r="C50" s="271"/>
      <c r="D50" s="218" t="s">
        <v>194</v>
      </c>
      <c r="E50" s="218"/>
      <c r="F50" s="219">
        <v>432858909.22000003</v>
      </c>
      <c r="G50" s="227"/>
      <c r="H50" s="219">
        <v>288759836</v>
      </c>
      <c r="I50" s="218"/>
      <c r="J50" s="227"/>
      <c r="K50" s="270"/>
      <c r="L50" s="140"/>
    </row>
    <row r="51" spans="3:12" x14ac:dyDescent="0.2">
      <c r="C51" s="271"/>
      <c r="D51" s="218" t="s">
        <v>36</v>
      </c>
      <c r="E51" s="218"/>
      <c r="F51" s="376">
        <v>27442068</v>
      </c>
      <c r="G51" s="227"/>
      <c r="H51" s="323">
        <v>103471098</v>
      </c>
      <c r="I51" s="218"/>
      <c r="J51" s="227"/>
      <c r="K51" s="270"/>
    </row>
    <row r="52" spans="3:12" x14ac:dyDescent="0.2">
      <c r="C52" s="271"/>
      <c r="D52" s="185" t="s">
        <v>45</v>
      </c>
      <c r="E52" s="218"/>
      <c r="F52" s="254">
        <f>SUM(F49:F51)</f>
        <v>554704286.22000003</v>
      </c>
      <c r="G52" s="227"/>
      <c r="H52" s="320">
        <f>SUM(H49:H51)</f>
        <v>493698566</v>
      </c>
      <c r="I52" s="218"/>
      <c r="J52" s="227"/>
      <c r="K52" s="270"/>
    </row>
    <row r="53" spans="3:12" x14ac:dyDescent="0.2">
      <c r="C53" s="271"/>
      <c r="D53" s="218"/>
      <c r="E53" s="218"/>
      <c r="F53" s="227"/>
      <c r="G53" s="227"/>
      <c r="H53" s="227"/>
      <c r="I53" s="218"/>
      <c r="J53" s="218"/>
      <c r="K53" s="270"/>
    </row>
    <row r="54" spans="3:12" ht="15.75" thickBot="1" x14ac:dyDescent="0.25">
      <c r="C54" s="271"/>
      <c r="D54" s="185" t="s">
        <v>46</v>
      </c>
      <c r="E54" s="217"/>
      <c r="F54" s="175">
        <f>+F52+F46</f>
        <v>1079612520.22</v>
      </c>
      <c r="G54" s="63"/>
      <c r="H54" s="175">
        <f>+H52+H46</f>
        <v>1163622330</v>
      </c>
      <c r="I54" s="218"/>
      <c r="J54" s="233" t="e">
        <f>SUM(J47:J49)</f>
        <v>#REF!</v>
      </c>
      <c r="K54" s="270"/>
    </row>
    <row r="55" spans="3:12" ht="16.5" thickTop="1" thickBot="1" x14ac:dyDescent="0.25">
      <c r="C55" s="272"/>
      <c r="D55" s="273"/>
      <c r="E55" s="273"/>
      <c r="F55" s="273"/>
      <c r="G55" s="274"/>
      <c r="H55" s="274" t="s">
        <v>73</v>
      </c>
      <c r="I55" s="275"/>
      <c r="J55" s="275"/>
      <c r="K55" s="276"/>
    </row>
    <row r="56" spans="3:12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2" x14ac:dyDescent="0.2">
      <c r="C57" s="50"/>
      <c r="D57" s="217"/>
      <c r="E57" s="217"/>
      <c r="F57" s="324"/>
      <c r="G57" s="324"/>
      <c r="H57" s="324"/>
      <c r="I57" s="218"/>
      <c r="J57" s="227"/>
      <c r="K57" s="218"/>
    </row>
    <row r="58" spans="3:12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2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2" x14ac:dyDescent="0.2">
      <c r="C60" s="18"/>
      <c r="D60" s="346" t="s">
        <v>269</v>
      </c>
      <c r="E60" s="238"/>
      <c r="F60" s="346"/>
      <c r="G60" s="347" t="s">
        <v>212</v>
      </c>
      <c r="H60" s="347"/>
      <c r="I60" s="238"/>
      <c r="J60" s="238"/>
      <c r="K60" s="238"/>
      <c r="L60" s="140"/>
    </row>
    <row r="61" spans="3:12" x14ac:dyDescent="0.2">
      <c r="C61" s="6"/>
      <c r="D61" s="15" t="s">
        <v>270</v>
      </c>
      <c r="E61" s="239"/>
      <c r="F61" s="395" t="s">
        <v>37</v>
      </c>
      <c r="G61" s="395"/>
      <c r="H61" s="395"/>
      <c r="I61" s="240"/>
      <c r="J61" s="240"/>
      <c r="K61" s="241"/>
      <c r="L61" s="141"/>
    </row>
    <row r="62" spans="3:12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2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</row>
    <row r="64" spans="3:12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</row>
    <row r="65" spans="3:12" x14ac:dyDescent="0.2">
      <c r="C65" s="18"/>
      <c r="D65" s="348" t="s">
        <v>266</v>
      </c>
      <c r="E65" s="349"/>
      <c r="F65" s="349"/>
      <c r="G65" s="253"/>
      <c r="H65" s="253"/>
      <c r="I65" s="253"/>
      <c r="J65" s="253"/>
      <c r="K65" s="238"/>
      <c r="L65" s="140"/>
    </row>
    <row r="66" spans="3:12" x14ac:dyDescent="0.2">
      <c r="C66" s="18"/>
      <c r="D66" s="259" t="s">
        <v>271</v>
      </c>
      <c r="E66" s="242"/>
      <c r="F66" s="242"/>
      <c r="G66" s="242"/>
      <c r="H66" s="238"/>
      <c r="I66" s="242"/>
      <c r="J66" s="242"/>
      <c r="K66" s="238"/>
    </row>
    <row r="67" spans="3:12" x14ac:dyDescent="0.2">
      <c r="C67" s="17"/>
      <c r="D67" s="237"/>
      <c r="E67" s="237"/>
      <c r="F67" s="237"/>
      <c r="G67" s="237"/>
      <c r="H67" s="243"/>
      <c r="I67" s="237"/>
      <c r="J67" s="237"/>
      <c r="K67" s="237"/>
    </row>
    <row r="68" spans="3:12" x14ac:dyDescent="0.2">
      <c r="C68" s="17"/>
      <c r="D68" s="237"/>
      <c r="E68" s="237"/>
      <c r="F68" s="178"/>
      <c r="G68" s="237"/>
      <c r="H68" s="243"/>
      <c r="I68" s="237"/>
      <c r="J68" s="237"/>
      <c r="K68" s="237"/>
    </row>
    <row r="69" spans="3:12" x14ac:dyDescent="0.2">
      <c r="C69" s="17"/>
      <c r="D69" s="243"/>
      <c r="E69" s="237"/>
      <c r="F69" s="178"/>
      <c r="G69" s="237"/>
      <c r="H69" s="237"/>
      <c r="I69" s="237"/>
      <c r="J69" s="237"/>
      <c r="K69" s="237"/>
    </row>
    <row r="70" spans="3:12" x14ac:dyDescent="0.2">
      <c r="C70" s="17"/>
      <c r="D70" s="243"/>
      <c r="E70" s="237"/>
      <c r="F70" s="178"/>
      <c r="G70" s="237"/>
      <c r="H70" s="243"/>
      <c r="I70" s="237"/>
      <c r="J70" s="237"/>
      <c r="K70" s="237"/>
    </row>
    <row r="71" spans="3:12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</row>
    <row r="72" spans="3:12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</row>
    <row r="73" spans="3:12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</row>
    <row r="74" spans="3:12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</row>
    <row r="75" spans="3:12" x14ac:dyDescent="0.2">
      <c r="C75" s="17"/>
      <c r="D75" s="237"/>
      <c r="E75" s="237"/>
      <c r="F75" s="178">
        <f>+F54-F31</f>
        <v>0.37000012397766113</v>
      </c>
      <c r="G75" s="237"/>
      <c r="H75" s="178">
        <f>+H54-H31</f>
        <v>0</v>
      </c>
      <c r="I75" s="237"/>
      <c r="J75" s="237"/>
      <c r="K75" s="237"/>
      <c r="L75" s="140"/>
    </row>
    <row r="76" spans="3:12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</row>
    <row r="77" spans="3:12" x14ac:dyDescent="0.2">
      <c r="C77" s="17"/>
      <c r="D77" s="237"/>
      <c r="E77" s="237"/>
      <c r="F77" s="178"/>
      <c r="G77" s="237"/>
      <c r="H77" s="178"/>
      <c r="I77" s="237"/>
      <c r="J77" s="237"/>
      <c r="K77" s="237" t="s">
        <v>20</v>
      </c>
      <c r="L77" s="140"/>
    </row>
    <row r="78" spans="3:12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2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2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0"/>
  <sheetViews>
    <sheetView zoomScale="110" zoomScaleNormal="110" zoomScaleSheetLayoutView="75" workbookViewId="0">
      <selection activeCell="A35" sqref="A35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5"/>
      <c r="D6" s="385"/>
      <c r="E6" s="385"/>
      <c r="F6" s="385"/>
      <c r="G6" s="385"/>
      <c r="H6" s="385"/>
      <c r="I6" s="385"/>
      <c r="J6" s="386"/>
      <c r="K6" s="27"/>
    </row>
    <row r="7" spans="2:11" x14ac:dyDescent="0.2">
      <c r="B7" s="28"/>
      <c r="C7" s="385" t="s">
        <v>98</v>
      </c>
      <c r="D7" s="385"/>
      <c r="E7" s="385"/>
      <c r="F7" s="385"/>
      <c r="G7" s="385"/>
      <c r="H7" s="385"/>
      <c r="I7" s="385"/>
      <c r="J7" s="386"/>
      <c r="K7" s="27"/>
    </row>
    <row r="8" spans="2:11" x14ac:dyDescent="0.2">
      <c r="B8" s="28"/>
      <c r="C8" s="385" t="str">
        <f>+RESULTADOS!B10</f>
        <v>DEL 01 DE ENERO AL 31 DE OCTUBRE 2021</v>
      </c>
      <c r="D8" s="385"/>
      <c r="E8" s="385"/>
      <c r="F8" s="385"/>
      <c r="G8" s="385"/>
      <c r="H8" s="385"/>
      <c r="I8" s="385"/>
      <c r="J8" s="386"/>
      <c r="K8" s="27"/>
    </row>
    <row r="9" spans="2:11" x14ac:dyDescent="0.2">
      <c r="B9" s="28"/>
      <c r="C9" s="385" t="str">
        <f>+'SITUACION '!C8:K8</f>
        <v>(Valores en RD$)</v>
      </c>
      <c r="D9" s="385"/>
      <c r="E9" s="385"/>
      <c r="F9" s="385"/>
      <c r="G9" s="385"/>
      <c r="H9" s="385"/>
      <c r="I9" s="385"/>
      <c r="J9" s="386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116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280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106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103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71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70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140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163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100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101</v>
      </c>
      <c r="E25" s="76"/>
      <c r="F25" s="76"/>
      <c r="G25" s="126">
        <v>11624593.5</v>
      </c>
      <c r="H25" s="67"/>
      <c r="I25" s="67"/>
      <c r="J25" s="77"/>
      <c r="K25" s="27"/>
    </row>
    <row r="26" spans="2:11" x14ac:dyDescent="0.2">
      <c r="B26" s="72"/>
      <c r="C26" s="79"/>
      <c r="D26" s="76" t="s">
        <v>102</v>
      </c>
      <c r="E26" s="76"/>
      <c r="F26" s="66"/>
      <c r="G26" s="60">
        <v>25873849.699999999</v>
      </c>
      <c r="H26" s="67"/>
      <c r="I26" s="67"/>
      <c r="J26" s="77"/>
      <c r="K26" s="27"/>
    </row>
    <row r="27" spans="2:11" x14ac:dyDescent="0.2">
      <c r="B27" s="72"/>
      <c r="C27" s="79"/>
      <c r="D27" s="76" t="s">
        <v>111</v>
      </c>
      <c r="E27" s="67"/>
      <c r="F27" s="67"/>
      <c r="G27" s="60">
        <v>1664708.45</v>
      </c>
      <c r="H27" s="60"/>
      <c r="I27" s="76"/>
      <c r="J27" s="77"/>
      <c r="K27" s="27"/>
    </row>
    <row r="28" spans="2:11" x14ac:dyDescent="0.2">
      <c r="B28" s="72"/>
      <c r="C28" s="79"/>
      <c r="D28" s="76" t="s">
        <v>112</v>
      </c>
      <c r="E28" s="76"/>
      <c r="F28" s="67"/>
      <c r="G28" s="65">
        <v>1057516.27</v>
      </c>
      <c r="H28" s="65">
        <f>SUM(G25:G28)</f>
        <v>40220667.920000009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+H28+H22-1</f>
        <v>40370666.920000009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154</v>
      </c>
      <c r="E32" s="76"/>
      <c r="F32" s="76"/>
      <c r="G32" s="60">
        <v>6910593.4699999997</v>
      </c>
      <c r="H32" s="60"/>
      <c r="I32" s="60"/>
      <c r="J32" s="77"/>
      <c r="K32" s="27"/>
    </row>
    <row r="33" spans="2:11" x14ac:dyDescent="0.2">
      <c r="B33" s="72"/>
      <c r="C33" s="79"/>
      <c r="D33" s="76" t="s">
        <v>59</v>
      </c>
      <c r="E33" s="76"/>
      <c r="F33" s="76"/>
      <c r="G33" s="60">
        <v>145533302.06999999</v>
      </c>
      <c r="I33" s="60"/>
      <c r="J33" s="77"/>
      <c r="K33" s="27"/>
    </row>
    <row r="34" spans="2:11" x14ac:dyDescent="0.2">
      <c r="B34" s="72"/>
      <c r="C34" s="79"/>
      <c r="D34" s="76" t="s">
        <v>138</v>
      </c>
      <c r="E34" s="76"/>
      <c r="F34" s="76"/>
      <c r="G34" s="60">
        <v>2784918.78</v>
      </c>
      <c r="H34" s="60"/>
      <c r="I34" s="60"/>
      <c r="J34" s="77"/>
      <c r="K34" s="27"/>
    </row>
    <row r="35" spans="2:11" x14ac:dyDescent="0.2">
      <c r="B35" s="72"/>
      <c r="C35" s="79"/>
      <c r="D35" s="76" t="s">
        <v>137</v>
      </c>
      <c r="F35" s="76"/>
      <c r="G35" s="60">
        <v>3273485.04</v>
      </c>
      <c r="H35" s="60"/>
      <c r="I35" s="60"/>
      <c r="J35" s="308"/>
      <c r="K35" s="27"/>
    </row>
    <row r="36" spans="2:11" x14ac:dyDescent="0.2">
      <c r="B36" s="72"/>
      <c r="C36" s="79"/>
      <c r="D36" s="76" t="s">
        <v>68</v>
      </c>
      <c r="E36" s="67"/>
      <c r="F36" s="76"/>
      <c r="G36" s="65">
        <v>1470439.19</v>
      </c>
      <c r="H36" s="65">
        <f>SUM(G32:G36)</f>
        <v>159972738.54999998</v>
      </c>
      <c r="I36" s="60"/>
      <c r="J36" s="77"/>
      <c r="K36" s="27"/>
    </row>
    <row r="37" spans="2:11" hidden="1" x14ac:dyDescent="0.2">
      <c r="B37" s="72"/>
      <c r="C37" s="79"/>
      <c r="D37" s="76" t="s">
        <v>67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141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143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153</v>
      </c>
      <c r="E41" s="67"/>
      <c r="F41" s="67"/>
      <c r="G41" s="60">
        <v>131464.95999999999</v>
      </c>
      <c r="H41" s="60"/>
      <c r="I41" s="66"/>
      <c r="J41" s="77"/>
      <c r="K41" s="27"/>
    </row>
    <row r="42" spans="2:11" x14ac:dyDescent="0.2">
      <c r="B42" s="72"/>
      <c r="C42" s="79"/>
      <c r="D42" s="67" t="s">
        <v>142</v>
      </c>
      <c r="E42" s="66"/>
      <c r="F42" s="67"/>
      <c r="G42" s="65">
        <v>212556.23</v>
      </c>
      <c r="H42" s="65">
        <f>SUM(G41:G42)</f>
        <v>344021.19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144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160316759.73999998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179</v>
      </c>
      <c r="D46" s="74" t="s">
        <v>126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119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180</v>
      </c>
      <c r="D51" s="74" t="s">
        <v>120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122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146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146</v>
      </c>
      <c r="E55" s="76"/>
      <c r="F55" s="76"/>
      <c r="G55" s="76"/>
      <c r="H55" s="83">
        <v>408126.54</v>
      </c>
      <c r="I55" s="76"/>
      <c r="J55" s="77"/>
      <c r="K55" s="27"/>
    </row>
    <row r="56" spans="2:11" x14ac:dyDescent="0.2">
      <c r="B56" s="72"/>
      <c r="C56" s="78"/>
      <c r="D56" s="76" t="s">
        <v>202</v>
      </c>
      <c r="E56" s="76"/>
      <c r="F56" s="76"/>
      <c r="G56" s="76"/>
      <c r="H56" s="373">
        <v>2222500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2630626.54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91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182</v>
      </c>
      <c r="D62" s="89" t="s">
        <v>276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6" t="s">
        <v>172</v>
      </c>
      <c r="E64" s="160"/>
      <c r="F64" s="161"/>
      <c r="G64" s="396" t="s">
        <v>173</v>
      </c>
      <c r="H64" s="160" t="s">
        <v>114</v>
      </c>
      <c r="I64" s="162" t="s">
        <v>174</v>
      </c>
      <c r="J64" s="77"/>
      <c r="K64" s="27"/>
    </row>
    <row r="65" spans="1:11" ht="15" thickBot="1" x14ac:dyDescent="0.25">
      <c r="B65" s="72"/>
      <c r="C65" s="163"/>
      <c r="D65" s="397"/>
      <c r="E65" s="96"/>
      <c r="F65" s="97"/>
      <c r="G65" s="397"/>
      <c r="H65" s="96" t="s">
        <v>175</v>
      </c>
      <c r="I65" s="164" t="s">
        <v>176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177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178</v>
      </c>
      <c r="D68" s="76"/>
      <c r="E68" s="76"/>
      <c r="F68" s="67"/>
      <c r="G68" s="335">
        <v>90440344.430000007</v>
      </c>
      <c r="H68" s="61">
        <v>29921051.719999999</v>
      </c>
      <c r="I68" s="166">
        <f>+G68-H68</f>
        <v>60519292.710000008</v>
      </c>
      <c r="J68" s="77"/>
      <c r="K68" s="27"/>
    </row>
    <row r="69" spans="1:11" ht="14.25" hidden="1" customHeight="1" x14ac:dyDescent="0.2">
      <c r="B69" s="72"/>
      <c r="C69" s="344" t="s">
        <v>207</v>
      </c>
      <c r="D69" s="76"/>
      <c r="E69" s="76"/>
      <c r="F69" s="67"/>
      <c r="G69" s="335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4" t="s">
        <v>250</v>
      </c>
      <c r="D70" s="76"/>
      <c r="E70" s="76"/>
      <c r="F70" s="67"/>
      <c r="G70" s="335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customHeight="1" x14ac:dyDescent="0.2">
      <c r="B71" s="72"/>
      <c r="C71" s="344" t="s">
        <v>208</v>
      </c>
      <c r="D71" s="76"/>
      <c r="E71" s="76"/>
      <c r="F71" s="67"/>
      <c r="G71" s="335">
        <f>8646000</f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4" t="s">
        <v>211</v>
      </c>
      <c r="D72" s="76"/>
      <c r="E72" s="76"/>
      <c r="F72" s="67"/>
      <c r="G72" s="335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4" t="s">
        <v>149</v>
      </c>
      <c r="D73" s="76"/>
      <c r="E73" s="76"/>
      <c r="F73" s="326"/>
      <c r="G73" s="335">
        <f>17037922.94+50521.7+703922.4+768180</f>
        <v>18560547.039999999</v>
      </c>
      <c r="H73" s="61">
        <v>16747837.58</v>
      </c>
      <c r="I73" s="166">
        <f>+G73-H73</f>
        <v>1812709.459999999</v>
      </c>
      <c r="J73" s="77"/>
      <c r="K73" s="27"/>
    </row>
    <row r="74" spans="1:11" ht="15.75" customHeight="1" x14ac:dyDescent="0.2">
      <c r="B74" s="72"/>
      <c r="C74" s="344" t="s">
        <v>75</v>
      </c>
      <c r="D74" s="76"/>
      <c r="E74" s="76"/>
      <c r="F74" s="67"/>
      <c r="G74" s="335">
        <f>35108624.62+1670724.48+76287+119475+187620</f>
        <v>37162731.099999994</v>
      </c>
      <c r="H74" s="61">
        <v>32015345.469999999</v>
      </c>
      <c r="I74" s="166">
        <f>+G74-H74</f>
        <v>5147385.6299999952</v>
      </c>
      <c r="J74" s="77"/>
      <c r="K74" s="27"/>
    </row>
    <row r="75" spans="1:11" x14ac:dyDescent="0.2">
      <c r="A75" s="8"/>
      <c r="B75" s="72"/>
      <c r="C75" s="344" t="s">
        <v>41</v>
      </c>
      <c r="D75" s="76"/>
      <c r="E75" s="76"/>
      <c r="F75" s="67"/>
      <c r="G75" s="335">
        <v>6702331.7299999995</v>
      </c>
      <c r="H75" s="61">
        <v>3030661.27</v>
      </c>
      <c r="I75" s="166">
        <f>+G75-H75</f>
        <v>3671670.4599999995</v>
      </c>
      <c r="J75" s="77"/>
      <c r="K75" s="27"/>
    </row>
    <row r="76" spans="1:11" hidden="1" x14ac:dyDescent="0.2">
      <c r="A76" s="8"/>
      <c r="B76" s="72"/>
      <c r="C76" s="344" t="s">
        <v>162</v>
      </c>
      <c r="D76" s="76"/>
      <c r="E76" s="76"/>
      <c r="F76" s="67"/>
      <c r="G76" s="335">
        <v>0</v>
      </c>
      <c r="H76" s="61">
        <f>+H721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4" t="s">
        <v>43</v>
      </c>
      <c r="D77" s="76"/>
      <c r="E77" s="76"/>
      <c r="F77" s="67"/>
      <c r="G77" s="335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4" t="s">
        <v>167</v>
      </c>
      <c r="D78" s="76"/>
      <c r="E78" s="76"/>
      <c r="F78" s="67"/>
      <c r="G78" s="335">
        <f>20523891.97-782546.82-1</f>
        <v>19741344.149999999</v>
      </c>
      <c r="H78" s="61">
        <v>19398530.02</v>
      </c>
      <c r="I78" s="166">
        <f>+G78-H78</f>
        <v>342814.12999999896</v>
      </c>
      <c r="J78" s="77"/>
      <c r="K78" s="27"/>
    </row>
    <row r="79" spans="1:11" x14ac:dyDescent="0.2">
      <c r="B79" s="72"/>
      <c r="C79" s="167" t="s">
        <v>92</v>
      </c>
      <c r="D79" s="76"/>
      <c r="E79" s="76"/>
      <c r="F79" s="67"/>
      <c r="G79" s="335">
        <v>51359484.789999999</v>
      </c>
      <c r="H79" s="61">
        <v>46238043.640000001</v>
      </c>
      <c r="I79" s="166">
        <f>+G79-H79</f>
        <v>5121441.1499999985</v>
      </c>
      <c r="J79" s="77"/>
      <c r="K79" s="27"/>
    </row>
    <row r="80" spans="1:11" x14ac:dyDescent="0.2">
      <c r="B80" s="72"/>
      <c r="C80" s="167" t="s">
        <v>133</v>
      </c>
      <c r="D80" s="76"/>
      <c r="E80" s="76"/>
      <c r="F80" s="67"/>
      <c r="G80" s="343">
        <f>17605611.47+94400</f>
        <v>17700011.469999999</v>
      </c>
      <c r="H80" s="98">
        <v>8711318.7400000002</v>
      </c>
      <c r="I80" s="166">
        <f>+G80-H80</f>
        <v>8988692.7299999986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486157116.5</v>
      </c>
      <c r="H81" s="99">
        <f>SUM(H68:H80)-1</f>
        <v>156062787.44</v>
      </c>
      <c r="I81" s="170">
        <f>SUM(I67:I80)</f>
        <v>330094328.05999994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248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216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249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246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247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57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171</v>
      </c>
      <c r="D93" s="59" t="s">
        <v>58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172</v>
      </c>
      <c r="E95" s="103" t="s">
        <v>93</v>
      </c>
      <c r="F95" s="103" t="s">
        <v>160</v>
      </c>
      <c r="G95" s="103" t="s">
        <v>161</v>
      </c>
      <c r="H95" s="150" t="s">
        <v>56</v>
      </c>
      <c r="I95" s="104" t="s">
        <v>215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166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185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186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7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172</v>
      </c>
      <c r="E102" s="104" t="s">
        <v>188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78"/>
      <c r="J103" s="101"/>
    </row>
    <row r="104" spans="2:10" ht="14.25" customHeight="1" x14ac:dyDescent="0.2">
      <c r="B104" s="100"/>
      <c r="C104" s="54"/>
      <c r="D104" s="54" t="s">
        <v>166</v>
      </c>
      <c r="E104" s="353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185</v>
      </c>
      <c r="E105" s="353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186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6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6"/>
      <c r="F108" s="354"/>
      <c r="G108" s="183"/>
      <c r="H108" s="86"/>
      <c r="I108" s="63"/>
      <c r="J108" s="106"/>
    </row>
    <row r="109" spans="2:10" x14ac:dyDescent="0.2">
      <c r="B109" s="100"/>
      <c r="C109" s="59" t="s">
        <v>209</v>
      </c>
      <c r="D109" s="337" t="s">
        <v>251</v>
      </c>
      <c r="E109" s="337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6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264</v>
      </c>
      <c r="E111" s="338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89</v>
      </c>
      <c r="D116" s="86" t="s">
        <v>277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65</v>
      </c>
      <c r="G118" s="67"/>
      <c r="H118" s="105">
        <v>766583.55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66</v>
      </c>
      <c r="G119" s="109"/>
      <c r="H119" s="114">
        <v>18516130.82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118</v>
      </c>
      <c r="H120" s="110">
        <f>SUM(H118:H119)</f>
        <v>19282714.370000001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134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117</v>
      </c>
      <c r="D124" s="112" t="s">
        <v>278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257</v>
      </c>
      <c r="G127" s="90"/>
      <c r="H127" s="105">
        <v>272247016.31</v>
      </c>
      <c r="I127" s="55"/>
      <c r="J127" s="108"/>
    </row>
    <row r="128" spans="1:10" hidden="1" x14ac:dyDescent="0.2">
      <c r="B128" s="100"/>
      <c r="C128" s="67"/>
      <c r="D128" s="67" t="s">
        <v>155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135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150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136</v>
      </c>
      <c r="G131" s="90"/>
      <c r="H131" s="115">
        <f>SUM(H127:H130)</f>
        <v>272247016.31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121</v>
      </c>
      <c r="D133" s="74" t="s">
        <v>127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279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131</v>
      </c>
      <c r="E138" s="94"/>
      <c r="F138" s="94"/>
      <c r="G138" s="112"/>
      <c r="H138" s="366">
        <v>4402425.79</v>
      </c>
      <c r="I138" s="63"/>
      <c r="J138" s="108"/>
    </row>
    <row r="139" spans="2:10" x14ac:dyDescent="0.2">
      <c r="B139" s="100"/>
      <c r="C139" s="67"/>
      <c r="D139" s="94" t="s">
        <v>115</v>
      </c>
      <c r="E139" s="94"/>
      <c r="F139" s="94"/>
      <c r="G139" s="112"/>
      <c r="H139" s="105">
        <v>379343.36000000004</v>
      </c>
      <c r="I139" s="63"/>
      <c r="J139" s="108"/>
    </row>
    <row r="140" spans="2:10" x14ac:dyDescent="0.2">
      <c r="B140" s="100"/>
      <c r="C140" s="67"/>
      <c r="D140" s="94" t="s">
        <v>113</v>
      </c>
      <c r="E140" s="94"/>
      <c r="F140" s="94"/>
      <c r="G140" s="112"/>
      <c r="H140" s="105">
        <v>3911688.48</v>
      </c>
      <c r="I140" s="66"/>
      <c r="J140" s="108"/>
    </row>
    <row r="141" spans="2:10" hidden="1" x14ac:dyDescent="0.2">
      <c r="B141" s="100"/>
      <c r="C141" s="67"/>
      <c r="D141" s="94" t="s">
        <v>90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204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151</v>
      </c>
      <c r="E143" s="121"/>
      <c r="F143" s="94"/>
      <c r="G143" s="112"/>
      <c r="H143" s="105">
        <v>54263199.689999998</v>
      </c>
      <c r="I143" s="66"/>
      <c r="J143" s="108"/>
    </row>
    <row r="144" spans="2:10" hidden="1" x14ac:dyDescent="0.2">
      <c r="B144" s="100"/>
      <c r="C144" s="67"/>
      <c r="D144" s="94" t="s">
        <v>21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265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128</v>
      </c>
      <c r="H146" s="115">
        <f>SUM(H138:H145)</f>
        <v>65754057.32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129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183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72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189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152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73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107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108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7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6"/>
      <c r="C162" s="158"/>
      <c r="D162" s="158"/>
      <c r="E162" s="158"/>
      <c r="F162" s="157"/>
      <c r="G162" s="157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2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horizontalDpi="4294967295" verticalDpi="4294967295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K11" sqref="K11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3"/>
      <c r="C5" s="264"/>
      <c r="D5" s="264"/>
      <c r="E5" s="264"/>
      <c r="F5" s="264"/>
      <c r="G5" s="265"/>
    </row>
    <row r="6" spans="2:7" x14ac:dyDescent="0.2">
      <c r="B6" s="266"/>
      <c r="C6" s="21"/>
      <c r="D6" s="21"/>
      <c r="E6" s="21"/>
      <c r="F6" s="21"/>
      <c r="G6" s="267"/>
    </row>
    <row r="7" spans="2:7" x14ac:dyDescent="0.2">
      <c r="B7" s="266"/>
      <c r="C7" s="21"/>
      <c r="D7" s="21"/>
      <c r="E7" s="21"/>
      <c r="F7" s="21"/>
      <c r="G7" s="267"/>
    </row>
    <row r="8" spans="2:7" x14ac:dyDescent="0.2">
      <c r="B8" s="266"/>
      <c r="C8" s="5"/>
      <c r="D8" s="5"/>
      <c r="E8" s="5"/>
      <c r="F8" s="5"/>
      <c r="G8" s="267"/>
    </row>
    <row r="9" spans="2:7" x14ac:dyDescent="0.2">
      <c r="B9" s="388" t="s">
        <v>1</v>
      </c>
      <c r="C9" s="389"/>
      <c r="D9" s="389"/>
      <c r="E9" s="389"/>
      <c r="F9" s="389"/>
      <c r="G9" s="390"/>
    </row>
    <row r="10" spans="2:7" x14ac:dyDescent="0.2">
      <c r="B10" s="388" t="str">
        <f>+'CASH F'!$B$10:$F$10</f>
        <v>DEL 01 DE ENERO AL 31 DE OCTUBRE 2021</v>
      </c>
      <c r="C10" s="389"/>
      <c r="D10" s="389"/>
      <c r="E10" s="389"/>
      <c r="F10" s="389"/>
      <c r="G10" s="390"/>
    </row>
    <row r="11" spans="2:7" x14ac:dyDescent="0.2">
      <c r="B11" s="388" t="s">
        <v>168</v>
      </c>
      <c r="C11" s="389"/>
      <c r="D11" s="389"/>
      <c r="E11" s="389"/>
      <c r="F11" s="389"/>
      <c r="G11" s="390"/>
    </row>
    <row r="12" spans="2:7" ht="15" thickBot="1" x14ac:dyDescent="0.25">
      <c r="B12" s="277"/>
      <c r="C12" s="22"/>
      <c r="D12" s="22"/>
      <c r="E12" s="22"/>
      <c r="F12" s="22"/>
      <c r="G12" s="278"/>
    </row>
    <row r="13" spans="2:7" x14ac:dyDescent="0.2">
      <c r="B13" s="279"/>
      <c r="C13" s="54"/>
      <c r="D13" s="54"/>
      <c r="E13" s="54"/>
      <c r="F13" s="54"/>
      <c r="G13" s="101"/>
    </row>
    <row r="14" spans="2:7" x14ac:dyDescent="0.2">
      <c r="B14" s="279"/>
      <c r="C14" s="54"/>
      <c r="D14" s="322" t="s">
        <v>275</v>
      </c>
      <c r="E14" s="53"/>
      <c r="F14" s="322" t="s">
        <v>69</v>
      </c>
      <c r="G14" s="101"/>
    </row>
    <row r="15" spans="2:7" x14ac:dyDescent="0.2">
      <c r="B15" s="279"/>
      <c r="C15" s="54"/>
      <c r="D15" s="54"/>
      <c r="E15" s="54"/>
      <c r="F15" s="54"/>
      <c r="G15" s="101"/>
    </row>
    <row r="16" spans="2:7" x14ac:dyDescent="0.2">
      <c r="B16" s="279"/>
      <c r="C16" s="51" t="s">
        <v>195</v>
      </c>
      <c r="D16" s="67"/>
      <c r="E16" s="67"/>
      <c r="F16" s="67"/>
      <c r="G16" s="101"/>
    </row>
    <row r="17" spans="2:7" ht="12.75" hidden="1" customHeight="1" x14ac:dyDescent="0.2">
      <c r="B17" s="279"/>
      <c r="C17" s="54" t="s">
        <v>60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9"/>
      <c r="C18" s="54" t="s">
        <v>164</v>
      </c>
      <c r="D18" s="105"/>
      <c r="E18" s="105"/>
      <c r="F18" s="105">
        <f>+D18</f>
        <v>0</v>
      </c>
      <c r="G18" s="101"/>
    </row>
    <row r="19" spans="2:7" x14ac:dyDescent="0.2">
      <c r="B19" s="279"/>
      <c r="C19" s="54"/>
      <c r="D19" s="105"/>
      <c r="E19" s="105"/>
      <c r="F19" s="105"/>
      <c r="G19" s="101"/>
    </row>
    <row r="20" spans="2:7" x14ac:dyDescent="0.2">
      <c r="B20" s="279"/>
      <c r="C20" s="218" t="s">
        <v>130</v>
      </c>
      <c r="D20" s="255">
        <v>24461886.34</v>
      </c>
      <c r="F20" s="255">
        <v>219499182.46000001</v>
      </c>
      <c r="G20" s="101"/>
    </row>
    <row r="21" spans="2:7" x14ac:dyDescent="0.2">
      <c r="B21" s="279"/>
      <c r="C21" s="218" t="s">
        <v>139</v>
      </c>
      <c r="D21" s="255">
        <v>38904348.5</v>
      </c>
      <c r="E21" s="369"/>
      <c r="F21" s="255">
        <v>354396921.83999997</v>
      </c>
      <c r="G21" s="101"/>
    </row>
    <row r="22" spans="2:7" x14ac:dyDescent="0.2">
      <c r="B22" s="279"/>
      <c r="C22" s="218" t="s">
        <v>145</v>
      </c>
      <c r="D22" s="384">
        <v>0</v>
      </c>
      <c r="E22" s="369"/>
      <c r="F22" s="255">
        <v>1365303.11</v>
      </c>
      <c r="G22" s="101"/>
    </row>
    <row r="23" spans="2:7" hidden="1" x14ac:dyDescent="0.2">
      <c r="B23" s="279"/>
      <c r="C23" s="218" t="s">
        <v>147</v>
      </c>
      <c r="D23" s="255">
        <v>0</v>
      </c>
      <c r="E23" s="379"/>
      <c r="F23" s="255">
        <v>0</v>
      </c>
      <c r="G23" s="101"/>
    </row>
    <row r="24" spans="2:7" x14ac:dyDescent="0.2">
      <c r="B24" s="279"/>
      <c r="C24" s="218" t="s">
        <v>88</v>
      </c>
      <c r="D24" s="256">
        <v>1333105.3999999999</v>
      </c>
      <c r="E24" s="368"/>
      <c r="F24" s="256">
        <v>9829633.6799999997</v>
      </c>
      <c r="G24" s="101"/>
    </row>
    <row r="25" spans="2:7" x14ac:dyDescent="0.2">
      <c r="B25" s="279"/>
      <c r="C25" s="64" t="s">
        <v>169</v>
      </c>
      <c r="D25" s="375">
        <f>SUM(D20:D24)</f>
        <v>64699340.240000002</v>
      </c>
      <c r="E25" s="105"/>
      <c r="F25" s="62">
        <f>SUM(F20:F24)</f>
        <v>585091041.08999991</v>
      </c>
      <c r="G25" s="101"/>
    </row>
    <row r="26" spans="2:7" x14ac:dyDescent="0.2">
      <c r="B26" s="279"/>
      <c r="D26" s="368"/>
      <c r="E26" s="325"/>
      <c r="G26" s="101"/>
    </row>
    <row r="27" spans="2:7" x14ac:dyDescent="0.2">
      <c r="B27" s="279"/>
      <c r="C27" s="51" t="s">
        <v>196</v>
      </c>
      <c r="D27" s="280"/>
      <c r="F27" s="372"/>
      <c r="G27" s="101"/>
    </row>
    <row r="28" spans="2:7" x14ac:dyDescent="0.2">
      <c r="B28" s="279"/>
      <c r="C28" s="51"/>
      <c r="D28" s="105"/>
      <c r="E28" s="105"/>
      <c r="F28" s="105"/>
      <c r="G28" s="101"/>
    </row>
    <row r="29" spans="2:7" x14ac:dyDescent="0.2">
      <c r="B29" s="279"/>
      <c r="C29" s="257" t="s">
        <v>76</v>
      </c>
      <c r="D29" s="367">
        <v>35479217.710000001</v>
      </c>
      <c r="E29" s="368"/>
      <c r="F29" s="367">
        <v>437458909</v>
      </c>
      <c r="G29" s="101"/>
    </row>
    <row r="30" spans="2:7" x14ac:dyDescent="0.2">
      <c r="B30" s="279"/>
      <c r="C30" s="258" t="s">
        <v>77</v>
      </c>
      <c r="D30" s="367">
        <v>10475380.01</v>
      </c>
      <c r="E30" s="369"/>
      <c r="F30" s="367">
        <v>84332860</v>
      </c>
      <c r="G30" s="101"/>
    </row>
    <row r="31" spans="2:7" x14ac:dyDescent="0.2">
      <c r="B31" s="279"/>
      <c r="C31" s="258" t="s">
        <v>210</v>
      </c>
      <c r="D31" s="367">
        <v>3545889.33</v>
      </c>
      <c r="E31" s="369"/>
      <c r="F31" s="367">
        <v>22654736</v>
      </c>
      <c r="G31" s="101"/>
    </row>
    <row r="32" spans="2:7" x14ac:dyDescent="0.2">
      <c r="B32" s="279"/>
      <c r="C32" s="258" t="s">
        <v>94</v>
      </c>
      <c r="D32" s="367">
        <v>1027390.35</v>
      </c>
      <c r="E32" s="368"/>
      <c r="F32" s="367">
        <v>10385821</v>
      </c>
      <c r="G32" s="101"/>
    </row>
    <row r="33" spans="2:7" x14ac:dyDescent="0.2">
      <c r="B33" s="279"/>
      <c r="C33" s="258" t="s">
        <v>78</v>
      </c>
      <c r="D33" s="370">
        <v>50000</v>
      </c>
      <c r="E33" s="368"/>
      <c r="F33" s="370">
        <v>2816647.4</v>
      </c>
      <c r="G33" s="101"/>
    </row>
    <row r="34" spans="2:7" x14ac:dyDescent="0.2">
      <c r="B34" s="279"/>
      <c r="C34" s="58" t="s">
        <v>80</v>
      </c>
      <c r="D34" s="62">
        <f>SUM(D29:D33)</f>
        <v>50577877.399999999</v>
      </c>
      <c r="E34" s="111"/>
      <c r="F34" s="62">
        <f>SUM(F29:F33)</f>
        <v>557648973.39999998</v>
      </c>
      <c r="G34" s="101"/>
    </row>
    <row r="35" spans="2:7" x14ac:dyDescent="0.2">
      <c r="B35" s="279"/>
      <c r="C35" s="58"/>
      <c r="D35" s="111"/>
      <c r="E35" s="111"/>
      <c r="F35" s="111"/>
      <c r="G35" s="101"/>
    </row>
    <row r="36" spans="2:7" hidden="1" x14ac:dyDescent="0.2">
      <c r="B36" s="279"/>
      <c r="C36" s="51" t="s">
        <v>79</v>
      </c>
      <c r="D36" s="105"/>
      <c r="E36" s="50"/>
      <c r="F36" s="105"/>
      <c r="G36" s="101"/>
    </row>
    <row r="37" spans="2:7" hidden="1" x14ac:dyDescent="0.2">
      <c r="B37" s="279"/>
      <c r="C37" s="94" t="s">
        <v>170</v>
      </c>
      <c r="D37" s="125">
        <v>0</v>
      </c>
      <c r="E37" s="50"/>
      <c r="F37" s="114">
        <v>0</v>
      </c>
      <c r="G37" s="101"/>
    </row>
    <row r="38" spans="2:7" hidden="1" x14ac:dyDescent="0.2">
      <c r="B38" s="279"/>
      <c r="C38" s="58" t="s">
        <v>81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9"/>
      <c r="C39" s="58"/>
      <c r="D39" s="111"/>
      <c r="E39" s="111"/>
      <c r="F39" s="111"/>
      <c r="G39" s="101"/>
    </row>
    <row r="40" spans="2:7" x14ac:dyDescent="0.2">
      <c r="B40" s="279"/>
      <c r="C40" s="64" t="s">
        <v>62</v>
      </c>
      <c r="D40" s="62">
        <f>+D38+D34</f>
        <v>50577877.399999999</v>
      </c>
      <c r="E40" s="105"/>
      <c r="F40" s="62">
        <f>+F38+F34</f>
        <v>557648973.39999998</v>
      </c>
      <c r="G40" s="101"/>
    </row>
    <row r="41" spans="2:7" x14ac:dyDescent="0.2">
      <c r="B41" s="279"/>
      <c r="C41" s="54"/>
      <c r="D41" s="105"/>
      <c r="E41" s="105"/>
      <c r="F41" s="114"/>
      <c r="G41" s="101"/>
    </row>
    <row r="42" spans="2:7" ht="15" thickBot="1" x14ac:dyDescent="0.25">
      <c r="B42" s="279"/>
      <c r="C42" s="64" t="s">
        <v>148</v>
      </c>
      <c r="D42" s="115">
        <f>+D25-D40</f>
        <v>14121462.840000004</v>
      </c>
      <c r="E42" s="105"/>
      <c r="F42" s="115">
        <f>+F25-F34</f>
        <v>27442067.689999938</v>
      </c>
      <c r="G42" s="101"/>
    </row>
    <row r="43" spans="2:7" ht="15" thickTop="1" x14ac:dyDescent="0.2">
      <c r="B43" s="279"/>
      <c r="C43" s="54"/>
      <c r="D43" s="60"/>
      <c r="E43" s="67"/>
      <c r="F43" s="67"/>
      <c r="G43" s="101"/>
    </row>
    <row r="44" spans="2:7" ht="14.25" hidden="1" customHeight="1" x14ac:dyDescent="0.2">
      <c r="B44" s="279"/>
      <c r="C44" s="51"/>
      <c r="D44" s="60"/>
      <c r="E44" s="67"/>
      <c r="F44" s="67"/>
      <c r="G44" s="101"/>
    </row>
    <row r="45" spans="2:7" hidden="1" x14ac:dyDescent="0.2">
      <c r="B45" s="279"/>
      <c r="C45" s="51"/>
      <c r="D45" s="60"/>
      <c r="E45" s="67"/>
      <c r="F45" s="67"/>
      <c r="G45" s="101"/>
    </row>
    <row r="46" spans="2:7" hidden="1" x14ac:dyDescent="0.2">
      <c r="B46" s="279"/>
      <c r="C46" s="51"/>
      <c r="D46" s="60"/>
      <c r="E46" s="67"/>
      <c r="F46" s="67"/>
      <c r="G46" s="101"/>
    </row>
    <row r="47" spans="2:7" x14ac:dyDescent="0.2">
      <c r="B47" s="279"/>
      <c r="C47" s="59"/>
      <c r="D47" s="86"/>
      <c r="E47" s="50"/>
      <c r="F47" s="50"/>
      <c r="G47" s="101"/>
    </row>
    <row r="48" spans="2:7" x14ac:dyDescent="0.2">
      <c r="B48" s="279"/>
      <c r="C48" s="59"/>
      <c r="D48" s="280"/>
      <c r="E48" s="50"/>
      <c r="F48" s="280"/>
      <c r="G48" s="101"/>
    </row>
    <row r="49" spans="2:8" x14ac:dyDescent="0.2">
      <c r="B49" s="279"/>
      <c r="C49" s="54"/>
      <c r="D49" s="280"/>
      <c r="E49" s="280"/>
      <c r="F49" s="280"/>
      <c r="G49" s="101"/>
    </row>
    <row r="50" spans="2:8" x14ac:dyDescent="0.2">
      <c r="B50" s="279"/>
      <c r="C50" s="54"/>
      <c r="E50" s="54"/>
      <c r="F50" s="127"/>
      <c r="G50" s="101"/>
    </row>
    <row r="51" spans="2:8" ht="15" thickBot="1" x14ac:dyDescent="0.25">
      <c r="B51" s="281"/>
      <c r="C51" s="157"/>
      <c r="D51" s="282"/>
      <c r="E51" s="157"/>
      <c r="F51" s="283"/>
      <c r="G51" s="284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0" t="s">
        <v>269</v>
      </c>
      <c r="D56" s="398" t="s">
        <v>213</v>
      </c>
      <c r="E56" s="398"/>
      <c r="F56" s="398"/>
      <c r="G56" s="13"/>
    </row>
    <row r="57" spans="2:8" s="6" customFormat="1" x14ac:dyDescent="0.2">
      <c r="B57" s="12"/>
      <c r="C57" s="15" t="s">
        <v>270</v>
      </c>
      <c r="D57" s="395" t="s">
        <v>190</v>
      </c>
      <c r="E57" s="395"/>
      <c r="F57" s="395"/>
      <c r="G57" s="14"/>
      <c r="H57" s="3"/>
    </row>
    <row r="58" spans="2:8" s="6" customFormat="1" x14ac:dyDescent="0.2">
      <c r="B58" s="12"/>
      <c r="D58" s="260"/>
      <c r="E58" s="260"/>
      <c r="F58" s="260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267</v>
      </c>
      <c r="D61" s="13"/>
      <c r="E61" s="13"/>
      <c r="F61" s="13"/>
      <c r="G61" s="13"/>
    </row>
    <row r="62" spans="2:8" s="18" customFormat="1" x14ac:dyDescent="0.2">
      <c r="B62" s="13"/>
      <c r="C62" s="261" t="s">
        <v>40</v>
      </c>
      <c r="D62" s="261"/>
      <c r="E62" s="261"/>
      <c r="F62" s="261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G82"/>
  <sheetViews>
    <sheetView zoomScale="110" zoomScaleNormal="110" workbookViewId="0">
      <selection activeCell="I37" sqref="I37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4"/>
      <c r="D5" s="45"/>
      <c r="E5" s="45"/>
      <c r="F5" s="290"/>
    </row>
    <row r="6" spans="2:6" x14ac:dyDescent="0.2">
      <c r="B6" s="289"/>
      <c r="C6" s="44"/>
      <c r="D6" s="45"/>
      <c r="E6" s="45"/>
      <c r="F6" s="290"/>
    </row>
    <row r="7" spans="2:6" x14ac:dyDescent="0.2">
      <c r="B7" s="289"/>
      <c r="C7" s="44"/>
      <c r="D7" s="45"/>
      <c r="E7" s="45"/>
      <c r="F7" s="291"/>
    </row>
    <row r="8" spans="2:6" x14ac:dyDescent="0.2">
      <c r="B8" s="292"/>
      <c r="C8" s="20"/>
      <c r="D8" s="20"/>
      <c r="E8" s="20"/>
      <c r="F8" s="293"/>
    </row>
    <row r="9" spans="2:6" x14ac:dyDescent="0.2">
      <c r="B9" s="388" t="s">
        <v>7</v>
      </c>
      <c r="C9" s="389"/>
      <c r="D9" s="389"/>
      <c r="E9" s="389"/>
      <c r="F9" s="390"/>
    </row>
    <row r="10" spans="2:6" x14ac:dyDescent="0.2">
      <c r="B10" s="388" t="s">
        <v>274</v>
      </c>
      <c r="C10" s="389"/>
      <c r="D10" s="389"/>
      <c r="E10" s="389"/>
      <c r="F10" s="390"/>
    </row>
    <row r="11" spans="2:6" x14ac:dyDescent="0.2">
      <c r="B11" s="388" t="s">
        <v>168</v>
      </c>
      <c r="C11" s="389"/>
      <c r="D11" s="389"/>
      <c r="E11" s="389"/>
      <c r="F11" s="390"/>
    </row>
    <row r="12" spans="2:6" ht="15" thickBot="1" x14ac:dyDescent="0.25">
      <c r="B12" s="294"/>
      <c r="C12" s="46"/>
      <c r="D12" s="47"/>
      <c r="E12" s="47"/>
      <c r="F12" s="295"/>
    </row>
    <row r="13" spans="2:6" x14ac:dyDescent="0.2">
      <c r="B13" s="296"/>
      <c r="C13" s="128"/>
      <c r="D13" s="129"/>
      <c r="E13" s="129"/>
      <c r="F13" s="297"/>
    </row>
    <row r="14" spans="2:6" x14ac:dyDescent="0.2">
      <c r="B14" s="357" t="s">
        <v>197</v>
      </c>
      <c r="C14" s="86"/>
      <c r="D14" s="130"/>
      <c r="E14" s="131"/>
      <c r="F14" s="299"/>
    </row>
    <row r="15" spans="2:6" x14ac:dyDescent="0.2">
      <c r="B15" s="298"/>
      <c r="C15" s="86"/>
      <c r="D15" s="130"/>
      <c r="E15" s="131"/>
      <c r="F15" s="299"/>
    </row>
    <row r="16" spans="2:6" x14ac:dyDescent="0.2">
      <c r="B16" s="358" t="s">
        <v>200</v>
      </c>
      <c r="C16" s="86"/>
      <c r="D16" s="130"/>
      <c r="E16" s="131"/>
      <c r="F16" s="299"/>
    </row>
    <row r="17" spans="2:7" x14ac:dyDescent="0.2">
      <c r="B17" s="359" t="s">
        <v>0</v>
      </c>
      <c r="C17" s="86"/>
      <c r="D17" s="130"/>
      <c r="E17" s="342" t="str">
        <f>+RESULTADOS!D14</f>
        <v>Octubre</v>
      </c>
      <c r="F17" s="365" t="str">
        <f>+RESULTADOS!F14</f>
        <v>Acumulado</v>
      </c>
    </row>
    <row r="18" spans="2:7" x14ac:dyDescent="0.2">
      <c r="B18" s="300"/>
      <c r="C18" s="86"/>
      <c r="D18" s="130"/>
      <c r="E18" s="130"/>
      <c r="F18" s="299"/>
    </row>
    <row r="19" spans="2:7" ht="12.75" customHeight="1" x14ac:dyDescent="0.2">
      <c r="B19" s="301" t="s">
        <v>84</v>
      </c>
      <c r="C19" s="86"/>
      <c r="D19" s="130"/>
      <c r="E19" s="57">
        <f>+RESULTADOS!D42</f>
        <v>14121462.840000004</v>
      </c>
      <c r="F19" s="299">
        <f>+RESULTADOS!F42</f>
        <v>27442067.689999938</v>
      </c>
      <c r="G19" s="8"/>
    </row>
    <row r="20" spans="2:7" ht="12" customHeight="1" x14ac:dyDescent="0.2">
      <c r="B20" s="301"/>
      <c r="C20" s="86"/>
      <c r="D20" s="130"/>
      <c r="E20" s="57"/>
      <c r="F20" s="299"/>
      <c r="G20" s="8"/>
    </row>
    <row r="21" spans="2:7" ht="14.25" customHeight="1" x14ac:dyDescent="0.2">
      <c r="B21" s="279" t="s">
        <v>156</v>
      </c>
      <c r="C21" s="67"/>
      <c r="D21" s="131"/>
      <c r="E21" s="331">
        <v>-7105.010000000002</v>
      </c>
      <c r="F21" s="302">
        <f>-156256.45+E21</f>
        <v>-163361.46000000002</v>
      </c>
      <c r="G21" s="8"/>
    </row>
    <row r="22" spans="2:7" ht="14.25" customHeight="1" x14ac:dyDescent="0.2">
      <c r="B22" s="279" t="s">
        <v>110</v>
      </c>
      <c r="C22" s="67"/>
      <c r="D22" s="131"/>
      <c r="E22" s="345">
        <v>0</v>
      </c>
      <c r="F22" s="302">
        <v>755842.14</v>
      </c>
      <c r="G22" s="8"/>
    </row>
    <row r="23" spans="2:7" ht="14.25" hidden="1" customHeight="1" x14ac:dyDescent="0.2">
      <c r="B23" s="279" t="s">
        <v>12</v>
      </c>
      <c r="C23" s="67"/>
      <c r="D23" s="131"/>
      <c r="E23" s="345">
        <v>0</v>
      </c>
      <c r="F23" s="302">
        <v>0</v>
      </c>
      <c r="G23" s="8"/>
    </row>
    <row r="24" spans="2:7" s="48" customFormat="1" x14ac:dyDescent="0.2">
      <c r="B24" s="279" t="s">
        <v>159</v>
      </c>
      <c r="C24" s="86"/>
      <c r="D24" s="130"/>
      <c r="E24" s="345">
        <v>1357900</v>
      </c>
      <c r="F24" s="302">
        <f>414510.49+E24</f>
        <v>1772410.49</v>
      </c>
      <c r="G24" s="8"/>
    </row>
    <row r="25" spans="2:7" s="48" customFormat="1" ht="13.5" customHeight="1" x14ac:dyDescent="0.2">
      <c r="B25" s="279" t="s">
        <v>82</v>
      </c>
      <c r="C25" s="86"/>
      <c r="D25" s="130"/>
      <c r="E25" s="345">
        <v>-563783.34</v>
      </c>
      <c r="F25" s="302">
        <f>-1520898.95+E25</f>
        <v>-2084682.29</v>
      </c>
      <c r="G25" s="8"/>
    </row>
    <row r="26" spans="2:7" s="48" customFormat="1" ht="13.5" customHeight="1" x14ac:dyDescent="0.2">
      <c r="B26" s="279" t="s">
        <v>124</v>
      </c>
      <c r="C26" s="86"/>
      <c r="D26" s="130"/>
      <c r="E26" s="345">
        <v>204063.11</v>
      </c>
      <c r="F26" s="302">
        <f>2351803.61+E26</f>
        <v>2555866.7199999997</v>
      </c>
      <c r="G26" s="8"/>
    </row>
    <row r="27" spans="2:7" s="48" customFormat="1" x14ac:dyDescent="0.2">
      <c r="B27" s="279" t="s">
        <v>74</v>
      </c>
      <c r="C27" s="86"/>
      <c r="D27" s="130"/>
      <c r="E27" s="345">
        <v>3524862.37</v>
      </c>
      <c r="F27" s="302">
        <f>20629569.34+E27</f>
        <v>24154431.710000001</v>
      </c>
      <c r="G27" s="8"/>
    </row>
    <row r="28" spans="2:7" s="48" customFormat="1" x14ac:dyDescent="0.2">
      <c r="B28" s="279" t="s">
        <v>109</v>
      </c>
      <c r="C28" s="86"/>
      <c r="D28" s="130"/>
      <c r="E28" s="345">
        <v>26599.08</v>
      </c>
      <c r="F28" s="302">
        <f>-127517.96+E28</f>
        <v>-100918.88</v>
      </c>
      <c r="G28" s="8"/>
    </row>
    <row r="29" spans="2:7" s="48" customFormat="1" x14ac:dyDescent="0.2">
      <c r="B29" s="279" t="s">
        <v>83</v>
      </c>
      <c r="C29" s="86"/>
      <c r="D29" s="130"/>
      <c r="E29" s="345">
        <v>5166366.8499999996</v>
      </c>
      <c r="F29" s="302">
        <f>55845575.52+E29</f>
        <v>61011942.370000005</v>
      </c>
      <c r="G29" s="8"/>
    </row>
    <row r="30" spans="2:7" s="48" customFormat="1" hidden="1" x14ac:dyDescent="0.2">
      <c r="B30" s="279" t="s">
        <v>165</v>
      </c>
      <c r="C30" s="86"/>
      <c r="D30" s="130"/>
      <c r="E30" s="345">
        <v>0</v>
      </c>
      <c r="F30" s="302">
        <v>0</v>
      </c>
      <c r="G30" s="8"/>
    </row>
    <row r="31" spans="2:7" s="48" customFormat="1" x14ac:dyDescent="0.2">
      <c r="B31" s="279" t="s">
        <v>104</v>
      </c>
      <c r="C31" s="86"/>
      <c r="D31" s="130"/>
      <c r="E31" s="331">
        <v>1600896.75</v>
      </c>
      <c r="F31" s="302">
        <f>160093.35+E31</f>
        <v>1760990.1</v>
      </c>
      <c r="G31" s="8"/>
    </row>
    <row r="32" spans="2:7" s="48" customFormat="1" x14ac:dyDescent="0.2">
      <c r="B32" s="279" t="s">
        <v>258</v>
      </c>
      <c r="C32" s="86"/>
      <c r="D32" s="130"/>
      <c r="E32" s="331">
        <v>135526008.66</v>
      </c>
      <c r="F32" s="302">
        <f>383775310.91+E32</f>
        <v>519301319.57000005</v>
      </c>
      <c r="G32" s="8"/>
    </row>
    <row r="33" spans="2:7" s="48" customFormat="1" ht="15" thickBot="1" x14ac:dyDescent="0.25">
      <c r="B33" s="362"/>
      <c r="C33" s="117"/>
      <c r="D33" s="363"/>
      <c r="E33" s="363"/>
      <c r="F33" s="364"/>
      <c r="G33" s="35"/>
    </row>
    <row r="34" spans="2:7" ht="16.5" customHeight="1" thickTop="1" thickBot="1" x14ac:dyDescent="0.25">
      <c r="B34" s="360" t="s">
        <v>198</v>
      </c>
      <c r="C34" s="132"/>
      <c r="D34" s="133" t="e">
        <f>+#REF!</f>
        <v>#REF!</v>
      </c>
      <c r="E34" s="361">
        <f>SUM(E19:E33)</f>
        <v>160957271.31</v>
      </c>
      <c r="F34" s="310">
        <f>SUM(F19:F33)</f>
        <v>636405908.15999997</v>
      </c>
      <c r="G34" s="8"/>
    </row>
    <row r="35" spans="2:7" ht="14.25" customHeight="1" x14ac:dyDescent="0.2">
      <c r="B35" s="306"/>
      <c r="C35" s="128"/>
      <c r="D35" s="129"/>
      <c r="E35" s="129"/>
      <c r="F35" s="297"/>
      <c r="G35" s="8"/>
    </row>
    <row r="36" spans="2:7" x14ac:dyDescent="0.2">
      <c r="B36" s="298" t="s">
        <v>217</v>
      </c>
      <c r="C36" s="86"/>
      <c r="D36" s="130"/>
      <c r="E36" s="131"/>
      <c r="F36" s="299"/>
      <c r="G36" s="8"/>
    </row>
    <row r="37" spans="2:7" x14ac:dyDescent="0.2">
      <c r="B37" s="307"/>
      <c r="C37" s="86"/>
      <c r="D37" s="130"/>
      <c r="E37" s="341"/>
      <c r="F37" s="308"/>
      <c r="G37" s="8"/>
    </row>
    <row r="38" spans="2:7" x14ac:dyDescent="0.2">
      <c r="B38" s="309" t="s">
        <v>201</v>
      </c>
      <c r="C38" s="86"/>
      <c r="D38" s="130"/>
      <c r="E38" s="332">
        <v>-1303446.8900000001</v>
      </c>
      <c r="F38" s="303">
        <f>-134289129.48+E38</f>
        <v>-135592576.36999997</v>
      </c>
      <c r="G38" s="8">
        <v>54483800.640000001</v>
      </c>
    </row>
    <row r="39" spans="2:7" ht="12.75" customHeight="1" x14ac:dyDescent="0.2">
      <c r="B39" s="309" t="s">
        <v>85</v>
      </c>
      <c r="C39" s="67"/>
      <c r="D39" s="131"/>
      <c r="E39" s="332">
        <v>167118.82999999999</v>
      </c>
      <c r="F39" s="303">
        <f>1008533.04000001+E39</f>
        <v>1175651.8700000101</v>
      </c>
      <c r="G39" s="8"/>
    </row>
    <row r="40" spans="2:7" x14ac:dyDescent="0.2">
      <c r="B40" s="309" t="s">
        <v>86</v>
      </c>
      <c r="C40" s="67"/>
      <c r="D40" s="131"/>
      <c r="E40" s="332">
        <v>46861.739999999991</v>
      </c>
      <c r="F40" s="303">
        <f>-704189.45+E40</f>
        <v>-657327.71</v>
      </c>
      <c r="G40" s="8"/>
    </row>
    <row r="41" spans="2:7" x14ac:dyDescent="0.2">
      <c r="B41" s="309" t="s">
        <v>87</v>
      </c>
      <c r="C41" s="67"/>
      <c r="D41" s="131"/>
      <c r="E41" s="332">
        <v>163972.16</v>
      </c>
      <c r="F41" s="303">
        <f>913949.66+E41</f>
        <v>1077921.82</v>
      </c>
      <c r="G41" s="8"/>
    </row>
    <row r="42" spans="2:7" ht="12.75" customHeight="1" x14ac:dyDescent="0.2">
      <c r="B42" s="309" t="s">
        <v>95</v>
      </c>
      <c r="C42" s="67"/>
      <c r="D42" s="131"/>
      <c r="E42" s="332">
        <v>440319.99</v>
      </c>
      <c r="F42" s="303">
        <f>-606759.92+E42</f>
        <v>-166439.93000000005</v>
      </c>
      <c r="G42" s="8"/>
    </row>
    <row r="43" spans="2:7" ht="12.75" customHeight="1" x14ac:dyDescent="0.2">
      <c r="B43" s="309" t="s">
        <v>218</v>
      </c>
      <c r="C43" s="67"/>
      <c r="D43" s="131"/>
      <c r="E43" s="333">
        <v>21497.63</v>
      </c>
      <c r="F43" s="303">
        <f>171977.04+E43</f>
        <v>193474.67</v>
      </c>
      <c r="G43" s="8"/>
    </row>
    <row r="44" spans="2:7" ht="15" thickBot="1" x14ac:dyDescent="0.25">
      <c r="B44" s="304"/>
      <c r="C44" s="132"/>
      <c r="D44" s="133"/>
      <c r="E44" s="334"/>
      <c r="F44" s="310"/>
      <c r="G44" s="8"/>
    </row>
    <row r="45" spans="2:7" ht="15.75" customHeight="1" thickBot="1" x14ac:dyDescent="0.25">
      <c r="B45" s="311" t="s">
        <v>219</v>
      </c>
      <c r="C45" s="134"/>
      <c r="D45" s="135" t="e">
        <f>+#REF!</f>
        <v>#REF!</v>
      </c>
      <c r="E45" s="152">
        <f>SUM(E38:E44)</f>
        <v>-463676.54000000004</v>
      </c>
      <c r="F45" s="305">
        <f>SUM(F38:F44)</f>
        <v>-133969295.64999999</v>
      </c>
      <c r="G45" s="8"/>
    </row>
    <row r="46" spans="2:7" ht="15.75" hidden="1" customHeight="1" x14ac:dyDescent="0.25">
      <c r="B46" s="328"/>
      <c r="C46" s="128"/>
      <c r="D46" s="129"/>
      <c r="E46" s="329"/>
      <c r="F46" s="297"/>
      <c r="G46" s="8"/>
    </row>
    <row r="47" spans="2:7" ht="15" hidden="1" thickBot="1" x14ac:dyDescent="0.25">
      <c r="B47" s="307"/>
      <c r="C47" s="86"/>
      <c r="D47" s="130"/>
      <c r="E47" s="130"/>
      <c r="F47" s="299"/>
      <c r="G47" s="8"/>
    </row>
    <row r="48" spans="2:7" ht="15" hidden="1" thickBot="1" x14ac:dyDescent="0.25">
      <c r="B48" s="357" t="s">
        <v>8</v>
      </c>
      <c r="C48" s="86"/>
      <c r="D48" s="130"/>
      <c r="E48" s="130"/>
      <c r="F48" s="299"/>
      <c r="G48" s="8"/>
    </row>
    <row r="49" spans="2:7" ht="15" hidden="1" thickBot="1" x14ac:dyDescent="0.25">
      <c r="B49" s="307"/>
      <c r="C49" s="86"/>
      <c r="D49" s="130"/>
      <c r="E49" s="130"/>
      <c r="F49" s="299"/>
      <c r="G49" s="8"/>
    </row>
    <row r="50" spans="2:7" ht="12.75" hidden="1" customHeight="1" x14ac:dyDescent="0.25">
      <c r="B50" s="279" t="s">
        <v>96</v>
      </c>
      <c r="C50" s="86"/>
      <c r="D50" s="130"/>
      <c r="E50" s="60">
        <v>0</v>
      </c>
      <c r="F50" s="308">
        <v>0</v>
      </c>
      <c r="G50" s="8"/>
    </row>
    <row r="51" spans="2:7" ht="12.75" hidden="1" customHeight="1" x14ac:dyDescent="0.25">
      <c r="B51" s="279" t="s">
        <v>42</v>
      </c>
      <c r="C51" s="86"/>
      <c r="D51" s="130"/>
      <c r="E51" s="355">
        <v>0</v>
      </c>
      <c r="F51" s="308">
        <v>0</v>
      </c>
      <c r="G51" s="8"/>
    </row>
    <row r="52" spans="2:7" ht="12.75" hidden="1" customHeight="1" x14ac:dyDescent="0.25">
      <c r="B52" s="279" t="s">
        <v>105</v>
      </c>
      <c r="C52" s="86"/>
      <c r="D52" s="130"/>
      <c r="E52" s="83">
        <v>0</v>
      </c>
      <c r="F52" s="308">
        <v>0</v>
      </c>
      <c r="G52" s="8"/>
    </row>
    <row r="53" spans="2:7" ht="15" hidden="1" thickBot="1" x14ac:dyDescent="0.25">
      <c r="B53" s="279" t="s">
        <v>132</v>
      </c>
      <c r="C53" s="86"/>
      <c r="D53" s="130"/>
      <c r="E53" s="83">
        <v>0</v>
      </c>
      <c r="F53" s="308">
        <v>0</v>
      </c>
      <c r="G53" s="8"/>
    </row>
    <row r="54" spans="2:7" ht="15" hidden="1" thickBot="1" x14ac:dyDescent="0.25">
      <c r="B54" s="279" t="s">
        <v>125</v>
      </c>
      <c r="C54" s="86"/>
      <c r="D54" s="130"/>
      <c r="E54" s="83">
        <v>0</v>
      </c>
      <c r="F54" s="308">
        <v>0</v>
      </c>
      <c r="G54" s="8"/>
    </row>
    <row r="55" spans="2:7" ht="15" hidden="1" thickBot="1" x14ac:dyDescent="0.25">
      <c r="B55" s="279" t="s">
        <v>99</v>
      </c>
      <c r="C55" s="86"/>
      <c r="D55" s="130"/>
      <c r="E55" s="83">
        <v>0</v>
      </c>
      <c r="F55" s="308">
        <f>+E55</f>
        <v>0</v>
      </c>
      <c r="G55" s="8"/>
    </row>
    <row r="56" spans="2:7" ht="15" hidden="1" thickBot="1" x14ac:dyDescent="0.25">
      <c r="B56" s="304"/>
      <c r="C56" s="132"/>
      <c r="D56" s="133"/>
      <c r="E56" s="133"/>
      <c r="F56" s="310"/>
      <c r="G56" s="8"/>
    </row>
    <row r="57" spans="2:7" ht="15.75" hidden="1" customHeight="1" thickBot="1" x14ac:dyDescent="0.25">
      <c r="B57" s="356" t="s">
        <v>9</v>
      </c>
      <c r="C57" s="136"/>
      <c r="D57" s="137" t="e">
        <f>+#REF!</f>
        <v>#REF!</v>
      </c>
      <c r="E57" s="152">
        <f>SUM(E50:E56)</f>
        <v>0</v>
      </c>
      <c r="F57" s="305">
        <f>SUM(F50:F56)</f>
        <v>0</v>
      </c>
      <c r="G57" s="8"/>
    </row>
    <row r="58" spans="2:7" x14ac:dyDescent="0.2">
      <c r="B58" s="306"/>
      <c r="C58" s="128"/>
      <c r="D58" s="129"/>
      <c r="E58" s="129"/>
      <c r="F58" s="297"/>
      <c r="G58" s="8"/>
    </row>
    <row r="59" spans="2:7" x14ac:dyDescent="0.2">
      <c r="B59" s="307"/>
      <c r="C59" s="86"/>
      <c r="D59" s="130"/>
      <c r="E59" s="130"/>
      <c r="F59" s="299"/>
      <c r="G59" s="8"/>
    </row>
    <row r="60" spans="2:7" x14ac:dyDescent="0.2">
      <c r="B60" s="309" t="s">
        <v>28</v>
      </c>
      <c r="C60" s="67"/>
      <c r="D60" s="131"/>
      <c r="E60" s="126">
        <v>160493594.44999999</v>
      </c>
      <c r="F60" s="312">
        <v>107582281.02000001</v>
      </c>
    </row>
    <row r="61" spans="2:7" x14ac:dyDescent="0.2">
      <c r="B61" s="309" t="s">
        <v>97</v>
      </c>
      <c r="C61" s="67"/>
      <c r="D61" s="131"/>
      <c r="E61" s="60">
        <v>40193833.210000001</v>
      </c>
      <c r="F61" s="308">
        <f>270304274+3568893.83-180768021.19</f>
        <v>93105146.639999986</v>
      </c>
    </row>
    <row r="62" spans="2:7" ht="15" thickBot="1" x14ac:dyDescent="0.25">
      <c r="B62" s="304"/>
      <c r="C62" s="132"/>
      <c r="D62" s="133"/>
      <c r="E62" s="133" t="s">
        <v>73</v>
      </c>
      <c r="F62" s="371"/>
    </row>
    <row r="63" spans="2:7" ht="18" customHeight="1" thickBot="1" x14ac:dyDescent="0.25">
      <c r="B63" s="321" t="s">
        <v>199</v>
      </c>
      <c r="C63" s="313"/>
      <c r="D63" s="314" t="e">
        <f>+#REF!+#REF!</f>
        <v>#REF!</v>
      </c>
      <c r="E63" s="315">
        <f>SUM(E60:E62)</f>
        <v>200687427.66</v>
      </c>
      <c r="F63" s="316">
        <f>SUM(F60:F62)</f>
        <v>200687427.66</v>
      </c>
    </row>
    <row r="64" spans="2:7" ht="15" thickTop="1" x14ac:dyDescent="0.2">
      <c r="B64" s="52"/>
      <c r="C64" s="66"/>
      <c r="D64" s="143"/>
      <c r="E64" s="143"/>
      <c r="F64" s="144"/>
    </row>
    <row r="65" spans="2:7" x14ac:dyDescent="0.2">
      <c r="B65" s="52"/>
      <c r="C65" s="66"/>
      <c r="D65" s="143"/>
      <c r="E65" s="143"/>
      <c r="F65" s="144"/>
    </row>
    <row r="66" spans="2:7" x14ac:dyDescent="0.2">
      <c r="B66" s="52"/>
      <c r="C66" s="66"/>
      <c r="D66" s="143"/>
      <c r="E66" s="143"/>
      <c r="F66" s="145"/>
    </row>
    <row r="67" spans="2:7" x14ac:dyDescent="0.2">
      <c r="B67" s="52"/>
      <c r="C67" s="66"/>
      <c r="D67" s="143"/>
      <c r="E67" s="143"/>
      <c r="F67" s="145"/>
    </row>
    <row r="68" spans="2:7" x14ac:dyDescent="0.2">
      <c r="B68" s="350" t="s">
        <v>269</v>
      </c>
      <c r="C68" s="66"/>
      <c r="D68" s="143"/>
      <c r="E68" s="400" t="s">
        <v>212</v>
      </c>
      <c r="F68" s="400"/>
      <c r="G68" s="19"/>
    </row>
    <row r="69" spans="2:7" x14ac:dyDescent="0.2">
      <c r="B69" s="146" t="s">
        <v>270</v>
      </c>
      <c r="C69" s="66"/>
      <c r="D69" s="143"/>
      <c r="E69" s="401" t="s">
        <v>6</v>
      </c>
      <c r="F69" s="401"/>
      <c r="G69" s="19"/>
    </row>
    <row r="70" spans="2:7" x14ac:dyDescent="0.2">
      <c r="C70" s="66"/>
      <c r="D70" s="143"/>
      <c r="E70" s="143"/>
    </row>
    <row r="71" spans="2:7" x14ac:dyDescent="0.2">
      <c r="B71" s="52"/>
      <c r="C71" s="66"/>
      <c r="D71" s="143"/>
      <c r="E71" s="143"/>
      <c r="F71" s="145"/>
    </row>
    <row r="72" spans="2:7" x14ac:dyDescent="0.2">
      <c r="B72" s="351" t="s">
        <v>268</v>
      </c>
      <c r="C72" s="66"/>
      <c r="D72" s="143"/>
      <c r="E72" s="143"/>
      <c r="F72" s="145"/>
    </row>
    <row r="73" spans="2:7" x14ac:dyDescent="0.2">
      <c r="B73" s="399" t="s">
        <v>214</v>
      </c>
      <c r="C73" s="399"/>
      <c r="D73" s="399"/>
      <c r="E73" s="399"/>
      <c r="F73" s="399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2021-11-11T14:10:14Z</cp:lastPrinted>
  <dcterms:created xsi:type="dcterms:W3CDTF">2005-02-18T21:21:25Z</dcterms:created>
  <dcterms:modified xsi:type="dcterms:W3CDTF">2021-11-11T16:14:15Z</dcterms:modified>
</cp:coreProperties>
</file>