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379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43" i="31" l="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F60" i="31"/>
  <c r="G74" i="23" l="1"/>
  <c r="G73" i="23"/>
  <c r="F52" i="10" l="1"/>
  <c r="F34" i="11" l="1"/>
  <c r="G71" i="23" l="1"/>
  <c r="G70" i="23" l="1"/>
  <c r="E45" i="31" l="1"/>
  <c r="F45" i="31"/>
  <c r="H36" i="23" l="1"/>
  <c r="G78" i="23" l="1"/>
  <c r="F61" i="31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42" i="11" s="1"/>
  <c r="D25" i="11"/>
  <c r="F18" i="11"/>
  <c r="F17" i="11"/>
  <c r="I150" i="23"/>
  <c r="H146" i="23"/>
  <c r="F36" i="10" s="1"/>
  <c r="H131" i="23"/>
  <c r="H120" i="23"/>
  <c r="F35" i="10" s="1"/>
  <c r="E105" i="23"/>
  <c r="E104" i="23"/>
  <c r="I100" i="23"/>
  <c r="H100" i="23"/>
  <c r="G100" i="23"/>
  <c r="F100" i="23"/>
  <c r="E100" i="23"/>
  <c r="I78" i="23"/>
  <c r="H76" i="23"/>
  <c r="H81" i="23" s="1"/>
  <c r="F27" i="10" s="1"/>
  <c r="I72" i="23"/>
  <c r="G72" i="23"/>
  <c r="G81" i="23" s="1"/>
  <c r="F26" i="10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E106" i="23" l="1"/>
  <c r="F14" i="10"/>
  <c r="H30" i="23"/>
  <c r="F29" i="10"/>
  <c r="H31" i="10"/>
  <c r="F38" i="10"/>
  <c r="F46" i="10" s="1"/>
  <c r="I81" i="23"/>
  <c r="H44" i="23"/>
  <c r="F40" i="11"/>
  <c r="D40" i="11"/>
  <c r="H46" i="10"/>
  <c r="D42" i="11" l="1"/>
  <c r="F15" i="10"/>
  <c r="F23" i="10" s="1"/>
  <c r="H54" i="10"/>
  <c r="F54" i="10"/>
  <c r="F19" i="31"/>
  <c r="F34" i="31" s="1"/>
  <c r="F31" i="10" l="1"/>
  <c r="E19" i="3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<sst xmlns="http://schemas.openxmlformats.org/spreadsheetml/2006/main" count="298" uniqueCount="280">
  <si>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</si>
  <si>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</si>
  <si>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</si>
  <si>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</si>
  <si>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</si>
  <si>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</si>
  <si>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</si>
  <si>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</si>
  <si>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</si>
  <si>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</si>
  <si>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</si>
  <si>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</si>
  <si>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</si>
  <si>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</si>
  <si>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</si>
  <si>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</si>
  <si>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</si>
  <si>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</si>
  <si>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</si>
  <si>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</si>
  <si>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</si>
  <si>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</si>
  <si>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</si>
  <si>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</si>
  <si>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</si>
  <si>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</si>
  <si>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</si>
  <si>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</si>
  <si>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</si>
  <si>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</si>
  <si>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</si>
  <si>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</si>
  <si>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</si>
  <si>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</si>
  <si>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</si>
  <si>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</si>
  <si>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</si>
  <si>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</si>
  <si>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</si>
  <si>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</si>
  <si>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</si>
  <si>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</si>
  <si>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</si>
  <si>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</si>
  <si>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</si>
  <si>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</si>
  <si>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</si>
  <si>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</si>
  <si>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</si>
  <si>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</si>
  <si>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</si>
  <si>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</si>
  <si>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</si>
  <si>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</si>
  <si>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</si>
  <si>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</si>
  <si>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</si>
  <si>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</si>
  <si>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</si>
  <si>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</si>
  <si>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</si>
  <si>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</si>
  <si>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</si>
  <si>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</si>
  <si>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</si>
  <si>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</si>
  <si>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</si>
  <si>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</si>
  <si>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</si>
  <si>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</si>
  <si>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</si>
  <si>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</si>
  <si>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</si>
  <si>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</si>
  <si>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</si>
  <si>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</si>
  <si>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</si>
  <si>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</si>
  <si>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</si>
  <si>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</si>
  <si>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</si>
  <si>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</si>
  <si>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</si>
  <si>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</si>
  <si>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</si>
  <si>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</si>
  <si>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</si>
  <si>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</si>
  <si>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</si>
  <si>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</si>
  <si>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</si>
  <si>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</si>
  <si>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</si>
  <si>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</si>
  <si>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</si>
  <si>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</si>
  <si>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</si>
  <si>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</si>
  <si>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</si>
  <si>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</si>
  <si>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</si>
  <si>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</si>
  <si>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</si>
  <si>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</si>
  <si>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</si>
  <si>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</si>
  <si>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</si>
  <si>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</si>
  <si>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</si>
  <si>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</si>
  <si>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</si>
  <si>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</si>
  <si>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</si>
  <si>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</si>
  <si>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</si>
  <si>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</si>
  <si>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</si>
  <si>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</si>
  <si>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</si>
  <si>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</si>
  <si>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</si>
  <si>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</si>
  <si>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</si>
  <si>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</si>
  <si>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</si>
  <si>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</si>
  <si>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</si>
  <si>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</si>
  <si>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</si>
  <si>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</si>
  <si>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</si>
  <si>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</si>
  <si>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</si>
  <si>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</si>
  <si>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</si>
  <si>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</si>
  <si>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</si>
  <si>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</si>
  <si>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</si>
  <si>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</si>
  <si>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</si>
  <si>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</si>
  <si>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</si>
  <si>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</si>
  <si>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</si>
  <si>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</si>
  <si>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</si>
  <si>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</si>
  <si>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</si>
  <si>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</si>
  <si>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</si>
  <si>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</si>
  <si>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</si>
  <si>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</si>
  <si>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</si>
  <si>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</si>
  <si>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</si>
  <si>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</si>
  <si>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</si>
  <si>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</si>
  <si>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</si>
  <si>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</si>
  <si>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</si>
  <si>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</si>
  <si>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</si>
  <si>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</si>
  <si>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</si>
  <si>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</si>
  <si>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</si>
  <si>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</si>
  <si>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</si>
  <si>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</si>
  <si>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</si>
  <si>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</si>
  <si>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</si>
  <si>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</si>
  <si>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</si>
  <si>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</si>
  <si>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</si>
  <si>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</si>
  <si>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</si>
  <si>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</si>
  <si>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</si>
  <si>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</si>
  <si>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</si>
  <si>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</si>
  <si>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</si>
  <si>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</si>
  <si>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</si>
  <si>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</si>
  <si>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</si>
  <si>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</si>
  <si>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</si>
  <si>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</si>
  <si>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</si>
  <si>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</si>
  <si>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</si>
  <si>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</si>
  <si>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</si>
  <si>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</si>
  <si>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</si>
  <si>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</si>
  <si>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</si>
  <si>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</si>
  <si>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</si>
  <si>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</si>
  <si>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</si>
  <si>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</si>
  <si>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</si>
  <si>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</si>
  <si>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</si>
  <si>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</si>
  <si>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</si>
  <si>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</si>
  <si>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</si>
  <si>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</si>
  <si>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</si>
  <si>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</si>
  <si>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</si>
  <si>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</si>
  <si>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</si>
  <si>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</si>
  <si>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</si>
  <si>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</si>
  <si>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</si>
  <si>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</si>
  <si>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</si>
  <si>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</si>
  <si>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</si>
  <si>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</si>
  <si>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</si>
  <si>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</si>
  <si>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</si>
  <si>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</si>
  <si>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</si>
  <si>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</si>
  <si>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</si>
  <si>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</si>
  <si>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</si>
  <si>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</si>
  <si>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</si>
  <si>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</si>
  <si>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</si>
  <si>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</si>
  <si>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</si>
  <si>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</si>
  <si>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</si>
  <si>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</si>
  <si>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</si>
  <si>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</si>
  <si>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</si>
  <si>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</si>
  <si>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</si>
  <si>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</si>
  <si>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</si>
  <si>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</si>
  <si>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</si>
  <si>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</si>
  <si>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</si>
  <si>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</si>
  <si>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</si>
  <si>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</si>
  <si>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</si>
  <si>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</si>
  <si>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</si>
  <si>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</si>
  <si>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</si>
  <si>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</si>
  <si>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</si>
  <si>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</si>
  <si>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</si>
  <si>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31 DE MAYO 2021</t>
  </si>
  <si>
    <t>AL 31 MAYO 2021</t>
  </si>
  <si>
    <t>DEL 01 DE ENERO AL 31 DE MAYO 2021</t>
  </si>
  <si>
    <t>Mayo</t>
  </si>
  <si>
    <t>Al 31 de mayo 2021, ésta cuenta se desglosa como sigue:</t>
  </si>
  <si>
    <t>Las cuentas por pagar proveedores al 31 de mayo del 2021 de la SISALRIL.</t>
  </si>
  <si>
    <t>La cuenta Obligaciones por pagar al 31 de mayo 2021 de la SISALRIL, se desglosan de la siguiente manera:</t>
  </si>
  <si>
    <t>La cuenta Retenciones y Contribuciones por pagar al 31 de mayo del 2021, se desglosan de la siguiente manera:</t>
  </si>
  <si>
    <t>Estos recursos están formados por dos partidas, las cuales una de ella representada por un valor ascendente por RD$214,189,273.00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</si>
</sst>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H24" sqref="H2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2"/>
      <c r="D6" s="382"/>
      <c r="E6" s="382"/>
      <c r="F6" s="382"/>
      <c r="G6" s="382"/>
      <c r="H6" s="382"/>
      <c r="I6" s="382"/>
      <c r="J6" s="383"/>
      <c r="K6" s="27"/>
    </row>
    <row r="7" spans="2:21" x14ac:dyDescent="0.2">
      <c r="B7" s="28"/>
      <c r="C7" s="382" t="s">
        <v>13</v>
      </c>
      <c r="D7" s="382"/>
      <c r="E7" s="382"/>
      <c r="F7" s="382"/>
      <c r="G7" s="382"/>
      <c r="H7" s="382"/>
      <c r="I7" s="382"/>
      <c r="J7" s="383"/>
      <c r="K7" s="27"/>
    </row>
    <row r="8" spans="2:21" x14ac:dyDescent="0.2">
      <c r="B8" s="28"/>
      <c r="C8" s="382" t="s">
        <v>271</v>
      </c>
      <c r="D8" s="382"/>
      <c r="E8" s="382"/>
      <c r="F8" s="382"/>
      <c r="G8" s="382"/>
      <c r="H8" s="382"/>
      <c r="I8" s="382"/>
      <c r="J8" s="383"/>
      <c r="K8" s="27"/>
    </row>
    <row r="9" spans="2:21" x14ac:dyDescent="0.2">
      <c r="B9" s="28"/>
      <c r="C9" s="382"/>
      <c r="D9" s="382"/>
      <c r="E9" s="382"/>
      <c r="F9" s="382"/>
      <c r="G9" s="382"/>
      <c r="H9" s="382"/>
      <c r="I9" s="382"/>
      <c r="J9" s="383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238</v>
      </c>
      <c r="E13" s="188"/>
      <c r="F13" s="188"/>
      <c r="G13" s="189"/>
      <c r="H13" s="189"/>
      <c r="I13" s="189"/>
      <c r="J13" s="77"/>
      <c r="K13" s="27"/>
      <c r="M13" s="384"/>
      <c r="N13" s="384"/>
      <c r="O13" s="384"/>
      <c r="P13" s="384"/>
      <c r="Q13" s="384"/>
      <c r="R13" s="384"/>
      <c r="S13" s="384"/>
      <c r="T13" s="384"/>
      <c r="U13" s="384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226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225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227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228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231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232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233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219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239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240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220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222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241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223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224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242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221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251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253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237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234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243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258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259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235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260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261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244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236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L165"/>
  <sheetViews>
    <sheetView tabSelected="1" zoomScale="110" zoomScaleNormal="110" workbookViewId="0">
      <selection activeCell="D2" sqref="D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91"/>
      <c r="E4" s="391"/>
      <c r="F4" s="391"/>
      <c r="G4" s="391"/>
      <c r="H4" s="391"/>
      <c r="I4" s="391"/>
      <c r="J4" s="391"/>
      <c r="K4" s="269"/>
    </row>
    <row r="5" spans="3:11" x14ac:dyDescent="0.2">
      <c r="C5" s="268"/>
      <c r="D5" s="391"/>
      <c r="E5" s="391"/>
      <c r="F5" s="391"/>
      <c r="G5" s="391"/>
      <c r="H5" s="391"/>
      <c r="I5" s="391"/>
      <c r="J5" s="391"/>
      <c r="K5" s="269"/>
    </row>
    <row r="6" spans="3:11" x14ac:dyDescent="0.2">
      <c r="C6" s="385" t="s">
        <v>190</v>
      </c>
      <c r="D6" s="386"/>
      <c r="E6" s="386"/>
      <c r="F6" s="386"/>
      <c r="G6" s="386"/>
      <c r="H6" s="386"/>
      <c r="I6" s="386"/>
      <c r="J6" s="386"/>
      <c r="K6" s="387"/>
    </row>
    <row r="7" spans="3:11" x14ac:dyDescent="0.2">
      <c r="C7" s="385" t="s">
        <v>272</v>
      </c>
      <c r="D7" s="386"/>
      <c r="E7" s="386"/>
      <c r="F7" s="386"/>
      <c r="G7" s="386"/>
      <c r="H7" s="386"/>
      <c r="I7" s="386"/>
      <c r="J7" s="386"/>
      <c r="K7" s="387"/>
    </row>
    <row r="8" spans="3:11" x14ac:dyDescent="0.2">
      <c r="C8" s="385" t="s">
        <v>167</v>
      </c>
      <c r="D8" s="386"/>
      <c r="E8" s="386"/>
      <c r="F8" s="386"/>
      <c r="G8" s="386"/>
      <c r="H8" s="386"/>
      <c r="I8" s="386"/>
      <c r="J8" s="386"/>
      <c r="K8" s="387"/>
    </row>
    <row r="9" spans="3:11" ht="15.75" thickBot="1" x14ac:dyDescent="0.25">
      <c r="C9" s="388"/>
      <c r="D9" s="389"/>
      <c r="E9" s="389"/>
      <c r="F9" s="389"/>
      <c r="G9" s="389"/>
      <c r="H9" s="389"/>
      <c r="I9" s="389"/>
      <c r="J9" s="389"/>
      <c r="K9" s="390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1" t="s">
        <v>171</v>
      </c>
      <c r="E11" s="221"/>
      <c r="F11" s="322">
        <v>2021</v>
      </c>
      <c r="G11" s="222"/>
      <c r="H11" s="322">
        <v>2020</v>
      </c>
      <c r="I11" s="218"/>
      <c r="J11" s="222" t="s">
        <v>60</v>
      </c>
      <c r="K11" s="272"/>
    </row>
    <row r="12" spans="3:11" ht="3.6" customHeight="1" x14ac:dyDescent="0.2">
      <c r="C12" s="270"/>
      <c r="D12" s="221"/>
      <c r="E12" s="221"/>
      <c r="F12" s="218"/>
      <c r="G12" s="222"/>
      <c r="H12" s="222"/>
      <c r="I12" s="218"/>
      <c r="J12" s="222"/>
      <c r="K12" s="272"/>
    </row>
    <row r="13" spans="3:11" ht="15.6" customHeight="1" x14ac:dyDescent="0.2">
      <c r="C13" s="270"/>
      <c r="D13" s="59" t="s">
        <v>21</v>
      </c>
      <c r="E13" s="218"/>
      <c r="F13" s="218"/>
      <c r="G13" s="218"/>
      <c r="H13" s="223"/>
      <c r="I13" s="218"/>
      <c r="J13" s="218"/>
      <c r="K13" s="272"/>
    </row>
    <row r="14" spans="3:11" x14ac:dyDescent="0.2">
      <c r="C14" s="270"/>
      <c r="D14" s="218" t="s">
        <v>22</v>
      </c>
      <c r="E14" s="218"/>
      <c r="F14" s="342">
        <f>+'NOTAS   '!H22+'NOTAS   '!H28</f>
        <v>51149476.960000001</v>
      </c>
      <c r="G14" s="218"/>
      <c r="H14" s="342">
        <v>49433026</v>
      </c>
      <c r="I14" s="218"/>
      <c r="J14" s="225">
        <v>1462536.8</v>
      </c>
      <c r="K14" s="272"/>
    </row>
    <row r="15" spans="3:11" x14ac:dyDescent="0.2">
      <c r="C15" s="270"/>
      <c r="D15" s="218" t="s">
        <v>262</v>
      </c>
      <c r="E15" s="218"/>
      <c r="F15" s="342">
        <f>+'NOTAS   '!H44</f>
        <v>214189272.61000001</v>
      </c>
      <c r="G15" s="218"/>
      <c r="H15" s="342">
        <v>179787928</v>
      </c>
      <c r="I15" s="218"/>
      <c r="J15" s="225"/>
      <c r="K15" s="272"/>
    </row>
    <row r="16" spans="3:11" x14ac:dyDescent="0.2">
      <c r="C16" s="270"/>
      <c r="D16" s="218" t="s">
        <v>23</v>
      </c>
      <c r="E16" s="218"/>
      <c r="F16" s="342">
        <v>2797749</v>
      </c>
      <c r="G16" s="218"/>
      <c r="H16" s="342">
        <v>2797749</v>
      </c>
      <c r="I16" s="218"/>
      <c r="J16" s="225"/>
      <c r="K16" s="272"/>
    </row>
    <row r="17" spans="3:11" x14ac:dyDescent="0.2">
      <c r="C17" s="270"/>
      <c r="D17" s="218" t="s">
        <v>46</v>
      </c>
      <c r="E17" s="218"/>
      <c r="F17" s="342">
        <v>872362.57999999961</v>
      </c>
      <c r="G17" s="218"/>
      <c r="H17" s="342">
        <v>842408.5299999998</v>
      </c>
      <c r="I17" s="218"/>
      <c r="J17" s="225"/>
      <c r="K17" s="272"/>
    </row>
    <row r="18" spans="3:11" x14ac:dyDescent="0.2">
      <c r="C18" s="270"/>
      <c r="D18" s="218" t="s">
        <v>180</v>
      </c>
      <c r="E18" s="218"/>
      <c r="F18" s="342">
        <v>1656853.85</v>
      </c>
      <c r="G18" s="227"/>
      <c r="H18" s="342">
        <v>3733173</v>
      </c>
      <c r="I18" s="218"/>
      <c r="J18" s="227"/>
      <c r="K18" s="272"/>
    </row>
    <row r="19" spans="3:11" x14ac:dyDescent="0.2">
      <c r="C19" s="270"/>
      <c r="D19" s="218" t="s">
        <v>24</v>
      </c>
      <c r="E19" s="218"/>
      <c r="F19" s="342">
        <f>+'NOTAS   '!H57</f>
        <v>10222042.129999999</v>
      </c>
      <c r="G19" s="227"/>
      <c r="H19" s="342">
        <v>6976376</v>
      </c>
      <c r="I19" s="218"/>
      <c r="J19" s="227"/>
      <c r="K19" s="272"/>
    </row>
    <row r="20" spans="3:11" x14ac:dyDescent="0.2">
      <c r="C20" s="270"/>
      <c r="D20" s="218" t="s">
        <v>62</v>
      </c>
      <c r="E20" s="218"/>
      <c r="F20" s="342">
        <v>180784378.81</v>
      </c>
      <c r="G20" s="227"/>
      <c r="H20" s="342">
        <v>107124281</v>
      </c>
      <c r="I20" s="218"/>
      <c r="J20" s="227"/>
      <c r="K20" s="272"/>
    </row>
    <row r="21" spans="3:11" x14ac:dyDescent="0.2">
      <c r="C21" s="270"/>
      <c r="D21" s="218" t="s">
        <v>25</v>
      </c>
      <c r="E21" s="218"/>
      <c r="F21" s="342">
        <v>221557259.91</v>
      </c>
      <c r="G21" s="227"/>
      <c r="H21" s="342">
        <v>281335000</v>
      </c>
      <c r="I21" s="218"/>
      <c r="J21" s="227"/>
      <c r="K21" s="272"/>
    </row>
    <row r="22" spans="3:11" x14ac:dyDescent="0.2">
      <c r="C22" s="270"/>
      <c r="D22" s="218" t="s">
        <v>63</v>
      </c>
      <c r="E22" s="218"/>
      <c r="F22" s="343">
        <v>161300000</v>
      </c>
      <c r="G22" s="218"/>
      <c r="H22" s="343">
        <v>258952000</v>
      </c>
      <c r="I22" s="218"/>
      <c r="J22" s="225">
        <f>SUM(J19:J20)</f>
        <v>0</v>
      </c>
      <c r="K22" s="272"/>
    </row>
    <row r="23" spans="3:11" x14ac:dyDescent="0.2">
      <c r="C23" s="270"/>
      <c r="D23" s="185" t="s">
        <v>204</v>
      </c>
      <c r="E23" s="218"/>
      <c r="F23" s="55">
        <f>SUM(F14:F22)+1</f>
        <v>844529396.85000002</v>
      </c>
      <c r="G23" s="218"/>
      <c r="H23" s="264">
        <f>SUM(H14:H22)</f>
        <v>890981941.52999997</v>
      </c>
      <c r="I23" s="218"/>
      <c r="J23" s="218"/>
      <c r="K23" s="272"/>
    </row>
    <row r="24" spans="3:11" x14ac:dyDescent="0.2">
      <c r="C24" s="270"/>
      <c r="D24" s="321"/>
      <c r="E24" s="218"/>
      <c r="F24" s="223"/>
      <c r="G24" s="218"/>
      <c r="H24" s="224"/>
      <c r="I24" s="218"/>
      <c r="J24" s="218"/>
      <c r="K24" s="272"/>
    </row>
    <row r="25" spans="3:11" x14ac:dyDescent="0.2">
      <c r="C25" s="270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2"/>
    </row>
    <row r="26" spans="3:11" x14ac:dyDescent="0.2">
      <c r="C26" s="270"/>
      <c r="D26" s="218" t="s">
        <v>26</v>
      </c>
      <c r="E26" s="226"/>
      <c r="F26" s="219">
        <f>+'NOTAS   '!G81</f>
        <v>484301632.10000002</v>
      </c>
      <c r="G26" s="218"/>
      <c r="H26" s="219">
        <v>477667448.5</v>
      </c>
      <c r="I26" s="218"/>
      <c r="J26" s="227"/>
      <c r="K26" s="272"/>
    </row>
    <row r="27" spans="3:11" ht="14.45" customHeight="1" x14ac:dyDescent="0.2">
      <c r="C27" s="270"/>
      <c r="D27" s="218" t="s">
        <v>186</v>
      </c>
      <c r="E27" s="218"/>
      <c r="F27" s="234">
        <f>-'NOTAS   '!H81</f>
        <v>-150817120.00999999</v>
      </c>
      <c r="G27" s="218"/>
      <c r="H27" s="234">
        <v>-137367086.5</v>
      </c>
      <c r="I27" s="218"/>
      <c r="J27" s="227"/>
      <c r="K27" s="272"/>
    </row>
    <row r="28" spans="3:11" ht="13.9" customHeight="1" x14ac:dyDescent="0.2">
      <c r="C28" s="270"/>
      <c r="D28" s="218" t="s">
        <v>183</v>
      </c>
      <c r="E28" s="218"/>
      <c r="F28" s="232">
        <v>507392</v>
      </c>
      <c r="G28" s="218"/>
      <c r="H28" s="333">
        <v>507391.5</v>
      </c>
      <c r="I28" s="218"/>
      <c r="J28" s="227"/>
      <c r="K28" s="272"/>
    </row>
    <row r="29" spans="3:11" ht="17.25" customHeight="1" x14ac:dyDescent="0.2">
      <c r="C29" s="270"/>
      <c r="D29" s="185" t="s">
        <v>205</v>
      </c>
      <c r="E29" s="230"/>
      <c r="F29" s="216">
        <f>SUM(F26:F28)</f>
        <v>333991904.09000003</v>
      </c>
      <c r="G29" s="218"/>
      <c r="H29" s="264">
        <f>SUM(H26:H28)</f>
        <v>340807753.5</v>
      </c>
      <c r="I29" s="218"/>
      <c r="J29" s="227"/>
      <c r="K29" s="272"/>
    </row>
    <row r="30" spans="3:11" ht="17.25" customHeight="1" x14ac:dyDescent="0.2">
      <c r="C30" s="270"/>
      <c r="D30" s="218"/>
      <c r="E30" s="218"/>
      <c r="F30" s="218"/>
      <c r="G30" s="218"/>
      <c r="H30" s="224"/>
      <c r="I30" s="218"/>
      <c r="J30" s="225">
        <f>SUM(J25:J25)</f>
        <v>399912.37</v>
      </c>
      <c r="K30" s="272"/>
    </row>
    <row r="31" spans="3:11" ht="16.149999999999999" customHeight="1" thickBot="1" x14ac:dyDescent="0.25">
      <c r="C31" s="270"/>
      <c r="D31" s="185" t="s">
        <v>37</v>
      </c>
      <c r="E31" s="218"/>
      <c r="F31" s="175">
        <f>+F29+F23</f>
        <v>1178521300.9400001</v>
      </c>
      <c r="G31" s="320"/>
      <c r="H31" s="175">
        <f>+H23+H29+1</f>
        <v>1231789696.03</v>
      </c>
      <c r="I31" s="218"/>
      <c r="J31" s="233">
        <f>+J14+J22+J30</f>
        <v>1862449.17</v>
      </c>
      <c r="K31" s="272"/>
    </row>
    <row r="32" spans="3:11" ht="10.9" customHeight="1" thickTop="1" x14ac:dyDescent="0.2">
      <c r="C32" s="270"/>
      <c r="D32" s="218"/>
      <c r="E32" s="218"/>
      <c r="F32" s="218"/>
      <c r="G32" s="218"/>
      <c r="H32" s="225"/>
      <c r="I32" s="218"/>
      <c r="J32" s="218"/>
      <c r="K32" s="272"/>
    </row>
    <row r="33" spans="3:12" ht="16.899999999999999" customHeight="1" x14ac:dyDescent="0.2">
      <c r="C33" s="270"/>
      <c r="D33" s="51" t="s">
        <v>28</v>
      </c>
      <c r="E33" s="218"/>
      <c r="F33" s="330"/>
      <c r="G33" s="227"/>
      <c r="H33" s="223"/>
      <c r="I33" s="218"/>
      <c r="J33" s="232">
        <v>-9259239.8100000005</v>
      </c>
      <c r="K33" s="272"/>
    </row>
    <row r="34" spans="3:12" ht="17.45" customHeight="1" x14ac:dyDescent="0.2">
      <c r="C34" s="270"/>
      <c r="D34" s="226" t="s">
        <v>34</v>
      </c>
      <c r="E34" s="218"/>
      <c r="F34" s="225"/>
      <c r="G34" s="218"/>
      <c r="H34" s="218"/>
      <c r="I34" s="218"/>
      <c r="J34" s="227"/>
      <c r="K34" s="272"/>
    </row>
    <row r="35" spans="3:12" ht="12.6" customHeight="1" x14ac:dyDescent="0.2">
      <c r="C35" s="273"/>
      <c r="D35" s="218" t="s">
        <v>32</v>
      </c>
      <c r="E35" s="226"/>
      <c r="F35" s="235">
        <f>+'NOTAS   '!H120</f>
        <v>15119910.389999999</v>
      </c>
      <c r="G35" s="218"/>
      <c r="H35" s="235">
        <v>3118105.78</v>
      </c>
      <c r="I35" s="218"/>
      <c r="J35" s="218"/>
      <c r="K35" s="272"/>
    </row>
    <row r="36" spans="3:12" ht="13.9" customHeight="1" x14ac:dyDescent="0.2">
      <c r="C36" s="273"/>
      <c r="D36" s="218" t="s">
        <v>31</v>
      </c>
      <c r="E36" s="226"/>
      <c r="F36" s="235">
        <f>+'NOTAS   '!H146</f>
        <v>51812505.530000001</v>
      </c>
      <c r="G36" s="222"/>
      <c r="H36" s="235">
        <v>72797397</v>
      </c>
      <c r="I36" s="218"/>
      <c r="J36" s="222" t="s">
        <v>60</v>
      </c>
      <c r="K36" s="272"/>
    </row>
    <row r="37" spans="3:12" ht="12.6" customHeight="1" x14ac:dyDescent="0.2">
      <c r="C37" s="273"/>
      <c r="D37" s="218" t="s">
        <v>122</v>
      </c>
      <c r="E37" s="226"/>
      <c r="F37" s="236">
        <v>24017.96</v>
      </c>
      <c r="G37" s="222"/>
      <c r="H37" s="236">
        <v>61963</v>
      </c>
      <c r="I37" s="218"/>
      <c r="J37" s="222"/>
      <c r="K37" s="272"/>
    </row>
    <row r="38" spans="3:12" ht="15" customHeight="1" x14ac:dyDescent="0.2">
      <c r="C38" s="273"/>
      <c r="D38" s="185" t="s">
        <v>202</v>
      </c>
      <c r="E38" s="218"/>
      <c r="F38" s="55">
        <f>SUM(F35:F37)</f>
        <v>66956433.880000003</v>
      </c>
      <c r="G38" s="227"/>
      <c r="H38" s="138">
        <f>SUM(H35:H37)</f>
        <v>75977465.780000001</v>
      </c>
      <c r="I38" s="218"/>
      <c r="J38" s="227"/>
      <c r="K38" s="272"/>
      <c r="L38" s="140"/>
    </row>
    <row r="39" spans="3:12" ht="12" customHeight="1" x14ac:dyDescent="0.2">
      <c r="C39" s="273"/>
      <c r="D39" s="218"/>
      <c r="E39" s="218"/>
      <c r="F39" s="218"/>
      <c r="G39" s="227"/>
      <c r="H39" s="227"/>
      <c r="I39" s="218"/>
      <c r="J39" s="227"/>
      <c r="K39" s="272"/>
      <c r="L39" s="140"/>
    </row>
    <row r="40" spans="3:12" x14ac:dyDescent="0.2">
      <c r="C40" s="273"/>
      <c r="D40" s="51" t="s">
        <v>33</v>
      </c>
      <c r="E40" s="218"/>
      <c r="F40" s="218"/>
      <c r="G40" s="227"/>
      <c r="H40" s="227"/>
      <c r="I40" s="218"/>
      <c r="J40" s="227"/>
      <c r="K40" s="272"/>
      <c r="L40" s="140"/>
    </row>
    <row r="41" spans="3:12" x14ac:dyDescent="0.2">
      <c r="C41" s="273"/>
      <c r="D41" s="218" t="s">
        <v>30</v>
      </c>
      <c r="E41" s="226"/>
      <c r="F41" s="235">
        <f>+'NOTAS   '!H127</f>
        <v>435260884.14999998</v>
      </c>
      <c r="G41" s="227"/>
      <c r="H41" s="227">
        <v>461047634</v>
      </c>
      <c r="I41" s="218"/>
      <c r="J41" s="227"/>
      <c r="K41" s="272"/>
      <c r="L41" s="140"/>
    </row>
    <row r="42" spans="3:12" ht="12.6" customHeight="1" x14ac:dyDescent="0.2">
      <c r="C42" s="273"/>
      <c r="D42" s="218" t="s">
        <v>156</v>
      </c>
      <c r="E42" s="226"/>
      <c r="F42" s="235">
        <v>647047.12</v>
      </c>
      <c r="G42" s="227"/>
      <c r="H42" s="227">
        <v>223788</v>
      </c>
      <c r="I42" s="218"/>
      <c r="J42" s="227"/>
      <c r="K42" s="272"/>
      <c r="L42" s="140"/>
    </row>
    <row r="43" spans="3:12" ht="13.5" customHeight="1" x14ac:dyDescent="0.2">
      <c r="C43" s="273"/>
      <c r="D43" s="218" t="s">
        <v>157</v>
      </c>
      <c r="E43" s="226"/>
      <c r="F43" s="236">
        <v>161300000</v>
      </c>
      <c r="G43" s="227"/>
      <c r="H43" s="232">
        <v>258952000</v>
      </c>
      <c r="I43" s="218"/>
      <c r="J43" s="227"/>
      <c r="K43" s="272"/>
      <c r="L43" s="140"/>
    </row>
    <row r="44" spans="3:12" ht="14.45" customHeight="1" x14ac:dyDescent="0.2">
      <c r="C44" s="273"/>
      <c r="D44" s="185" t="s">
        <v>191</v>
      </c>
      <c r="E44" s="218"/>
      <c r="F44" s="377">
        <f>SUM(F41:F43)</f>
        <v>597207931.26999998</v>
      </c>
      <c r="G44" s="227"/>
      <c r="H44" s="55">
        <f>SUM(H41:H43)</f>
        <v>720223422</v>
      </c>
      <c r="I44" s="218"/>
      <c r="J44" s="227"/>
      <c r="K44" s="272"/>
      <c r="L44" s="140"/>
    </row>
    <row r="45" spans="3:12" ht="6.6" customHeight="1" x14ac:dyDescent="0.2">
      <c r="C45" s="273"/>
      <c r="D45" s="321"/>
      <c r="E45" s="218"/>
      <c r="F45" s="223"/>
      <c r="G45" s="227"/>
      <c r="H45" s="247"/>
      <c r="I45" s="218"/>
      <c r="J45" s="227"/>
      <c r="K45" s="272"/>
      <c r="L45" s="140"/>
    </row>
    <row r="46" spans="3:12" ht="18.75" customHeight="1" thickBot="1" x14ac:dyDescent="0.25">
      <c r="C46" s="273"/>
      <c r="D46" s="185" t="s">
        <v>38</v>
      </c>
      <c r="E46" s="230"/>
      <c r="F46" s="250">
        <f>+F38+F44</f>
        <v>664164365.14999998</v>
      </c>
      <c r="G46" s="227"/>
      <c r="H46" s="250">
        <f>+H38+H44</f>
        <v>796200887.77999997</v>
      </c>
      <c r="I46" s="218"/>
      <c r="J46" s="227"/>
      <c r="K46" s="272"/>
      <c r="L46" s="140"/>
    </row>
    <row r="47" spans="3:12" ht="10.9" customHeight="1" thickTop="1" x14ac:dyDescent="0.2">
      <c r="C47" s="273"/>
      <c r="D47" s="248"/>
      <c r="E47" s="218"/>
      <c r="F47" s="218"/>
      <c r="G47" s="225"/>
      <c r="H47" s="231"/>
      <c r="I47" s="218"/>
      <c r="J47" s="225" t="e">
        <f>+#REF!+#REF!+#REF!</f>
        <v>#REF!</v>
      </c>
      <c r="K47" s="272"/>
      <c r="L47" s="140"/>
    </row>
    <row r="48" spans="3:12" ht="13.9" customHeight="1" x14ac:dyDescent="0.2">
      <c r="C48" s="273"/>
      <c r="D48" s="59" t="s">
        <v>192</v>
      </c>
      <c r="E48" s="218"/>
      <c r="F48" s="227"/>
      <c r="G48" s="227"/>
      <c r="H48" s="218"/>
      <c r="I48" s="218"/>
      <c r="J48" s="218"/>
      <c r="K48" s="272"/>
      <c r="L48" s="140"/>
    </row>
    <row r="49" spans="3:12" x14ac:dyDescent="0.2">
      <c r="C49" s="273"/>
      <c r="D49" s="218" t="s">
        <v>43</v>
      </c>
      <c r="E49" s="218"/>
      <c r="F49" s="219">
        <v>94403308.530000001</v>
      </c>
      <c r="G49" s="227"/>
      <c r="H49" s="219">
        <v>101467632</v>
      </c>
      <c r="I49" s="218"/>
      <c r="J49" s="232">
        <v>53367236.979999997</v>
      </c>
      <c r="K49" s="272"/>
      <c r="L49" s="140"/>
    </row>
    <row r="50" spans="3:12" x14ac:dyDescent="0.2">
      <c r="C50" s="273"/>
      <c r="D50" s="218" t="s">
        <v>193</v>
      </c>
      <c r="E50" s="218"/>
      <c r="F50" s="219">
        <v>432858909.22000003</v>
      </c>
      <c r="G50" s="227"/>
      <c r="H50" s="219">
        <v>288625385</v>
      </c>
      <c r="I50" s="218"/>
      <c r="J50" s="227"/>
      <c r="K50" s="272"/>
      <c r="L50" s="140"/>
    </row>
    <row r="51" spans="3:12" x14ac:dyDescent="0.2">
      <c r="C51" s="273"/>
      <c r="D51" s="218" t="s">
        <v>35</v>
      </c>
      <c r="E51" s="218"/>
      <c r="F51" s="379">
        <v>-12905281.920000101</v>
      </c>
      <c r="G51" s="227"/>
      <c r="H51" s="326">
        <v>45495791.409999996</v>
      </c>
      <c r="I51" s="218"/>
      <c r="J51" s="227"/>
      <c r="K51" s="272"/>
    </row>
    <row r="52" spans="3:12" x14ac:dyDescent="0.2">
      <c r="C52" s="273"/>
      <c r="D52" s="185" t="s">
        <v>44</v>
      </c>
      <c r="E52" s="218"/>
      <c r="F52" s="255">
        <f>SUM(F49:F51)</f>
        <v>514356935.82999992</v>
      </c>
      <c r="G52" s="227"/>
      <c r="H52" s="323">
        <f>SUM(H49:H51)</f>
        <v>435588808.40999997</v>
      </c>
      <c r="I52" s="218"/>
      <c r="J52" s="227"/>
      <c r="K52" s="272"/>
    </row>
    <row r="53" spans="3:12" x14ac:dyDescent="0.2">
      <c r="C53" s="273"/>
      <c r="D53" s="218"/>
      <c r="E53" s="218"/>
      <c r="F53" s="227"/>
      <c r="G53" s="227"/>
      <c r="H53" s="227"/>
      <c r="I53" s="218"/>
      <c r="J53" s="218"/>
      <c r="K53" s="272"/>
    </row>
    <row r="54" spans="3:12" ht="15.75" thickBot="1" x14ac:dyDescent="0.25">
      <c r="C54" s="273"/>
      <c r="D54" s="185" t="s">
        <v>45</v>
      </c>
      <c r="E54" s="217"/>
      <c r="F54" s="175">
        <f>+F52+F46</f>
        <v>1178521300.98</v>
      </c>
      <c r="G54" s="63"/>
      <c r="H54" s="175">
        <f>+H52+H46</f>
        <v>1231789696.1900001</v>
      </c>
      <c r="I54" s="218"/>
      <c r="J54" s="233" t="e">
        <f>SUM(J47:J49)</f>
        <v>#REF!</v>
      </c>
      <c r="K54" s="272"/>
    </row>
    <row r="55" spans="3:12" ht="16.5" thickTop="1" thickBot="1" x14ac:dyDescent="0.25">
      <c r="C55" s="274"/>
      <c r="D55" s="275"/>
      <c r="E55" s="275"/>
      <c r="F55" s="275"/>
      <c r="G55" s="276"/>
      <c r="H55" s="276" t="s">
        <v>72</v>
      </c>
      <c r="I55" s="277"/>
      <c r="J55" s="277"/>
      <c r="K55" s="278"/>
    </row>
    <row r="56" spans="3:12" ht="15.75" thickTop="1" x14ac:dyDescent="0.2">
      <c r="C56" s="50"/>
      <c r="D56" s="217"/>
      <c r="E56" s="217"/>
      <c r="F56" s="249"/>
      <c r="G56" s="218"/>
      <c r="H56" s="223"/>
      <c r="I56" s="218"/>
      <c r="J56" s="232">
        <v>-5348157.34</v>
      </c>
      <c r="K56" s="218"/>
    </row>
    <row r="57" spans="3:12" x14ac:dyDescent="0.2">
      <c r="C57" s="50"/>
      <c r="D57" s="217"/>
      <c r="E57" s="217"/>
      <c r="F57" s="327"/>
      <c r="G57" s="327"/>
      <c r="H57" s="327"/>
      <c r="I57" s="218"/>
      <c r="J57" s="227"/>
      <c r="K57" s="218"/>
    </row>
    <row r="58" spans="3:12" x14ac:dyDescent="0.2">
      <c r="C58" s="50"/>
      <c r="D58" s="217"/>
      <c r="E58" s="217"/>
      <c r="F58" s="249"/>
      <c r="G58" s="249"/>
      <c r="H58" s="249"/>
      <c r="I58" s="218"/>
      <c r="J58" s="227"/>
      <c r="K58" s="218"/>
    </row>
    <row r="59" spans="3:12" x14ac:dyDescent="0.2">
      <c r="C59" s="251"/>
      <c r="D59" s="248"/>
      <c r="E59" s="248"/>
      <c r="F59" s="252"/>
      <c r="G59" s="248"/>
      <c r="H59" s="253"/>
      <c r="I59" s="248"/>
      <c r="J59" s="248"/>
      <c r="K59" s="248"/>
      <c r="L59" s="140"/>
    </row>
    <row r="60" spans="3:12" x14ac:dyDescent="0.2">
      <c r="C60" s="18"/>
      <c r="D60" s="349" t="s">
        <v>268</v>
      </c>
      <c r="E60" s="239"/>
      <c r="F60" s="349"/>
      <c r="G60" s="350" t="s">
        <v>211</v>
      </c>
      <c r="H60" s="350"/>
      <c r="I60" s="239"/>
      <c r="J60" s="239"/>
      <c r="K60" s="239"/>
      <c r="L60" s="140"/>
    </row>
    <row r="61" spans="3:12" x14ac:dyDescent="0.2">
      <c r="C61" s="6"/>
      <c r="D61" s="15" t="s">
        <v>269</v>
      </c>
      <c r="E61" s="240"/>
      <c r="F61" s="392" t="s">
        <v>36</v>
      </c>
      <c r="G61" s="392"/>
      <c r="H61" s="392"/>
      <c r="I61" s="241"/>
      <c r="J61" s="241"/>
      <c r="K61" s="242"/>
      <c r="L61" s="141"/>
    </row>
    <row r="62" spans="3:12" x14ac:dyDescent="0.2">
      <c r="C62" s="18"/>
      <c r="D62" s="239"/>
      <c r="E62" s="239"/>
      <c r="F62" s="239"/>
      <c r="G62" s="239"/>
      <c r="H62" s="239"/>
      <c r="I62" s="239"/>
      <c r="J62" s="239"/>
      <c r="K62" s="239"/>
      <c r="L62" s="140"/>
    </row>
    <row r="63" spans="3:12" x14ac:dyDescent="0.2">
      <c r="C63" s="18"/>
      <c r="D63" s="239"/>
      <c r="E63" s="239"/>
      <c r="F63" s="239"/>
      <c r="G63" s="239"/>
      <c r="H63" s="239"/>
      <c r="I63" s="239"/>
      <c r="J63" s="239"/>
      <c r="K63" s="239"/>
      <c r="L63" s="140"/>
    </row>
    <row r="64" spans="3:12" x14ac:dyDescent="0.2">
      <c r="C64" s="18"/>
      <c r="D64" s="238"/>
      <c r="E64" s="239"/>
      <c r="F64" s="239"/>
      <c r="G64" s="239"/>
      <c r="H64" s="239"/>
      <c r="I64" s="239"/>
      <c r="J64" s="239"/>
      <c r="K64" s="239"/>
      <c r="L64" s="140"/>
    </row>
    <row r="65" spans="3:12" x14ac:dyDescent="0.2">
      <c r="C65" s="18"/>
      <c r="D65" s="351" t="s">
        <v>265</v>
      </c>
      <c r="E65" s="352"/>
      <c r="F65" s="352"/>
      <c r="G65" s="254"/>
      <c r="H65" s="254"/>
      <c r="I65" s="254"/>
      <c r="J65" s="254"/>
      <c r="K65" s="239"/>
      <c r="L65" s="140"/>
    </row>
    <row r="66" spans="3:12" x14ac:dyDescent="0.2">
      <c r="C66" s="18"/>
      <c r="D66" s="261" t="s">
        <v>270</v>
      </c>
      <c r="E66" s="243"/>
      <c r="F66" s="243"/>
      <c r="G66" s="243"/>
      <c r="H66" s="239"/>
      <c r="I66" s="243"/>
      <c r="J66" s="243"/>
      <c r="K66" s="239"/>
    </row>
    <row r="67" spans="3:12" x14ac:dyDescent="0.2">
      <c r="C67" s="17"/>
      <c r="D67" s="238"/>
      <c r="E67" s="238"/>
      <c r="F67" s="238"/>
      <c r="G67" s="238"/>
      <c r="H67" s="244"/>
      <c r="I67" s="238"/>
      <c r="J67" s="238"/>
      <c r="K67" s="238"/>
    </row>
    <row r="68" spans="3:12" x14ac:dyDescent="0.2">
      <c r="C68" s="17"/>
      <c r="D68" s="238"/>
      <c r="E68" s="238"/>
      <c r="F68" s="178"/>
      <c r="G68" s="238"/>
      <c r="H68" s="244"/>
      <c r="I68" s="238"/>
      <c r="J68" s="238"/>
      <c r="K68" s="238"/>
    </row>
    <row r="69" spans="3:12" x14ac:dyDescent="0.2">
      <c r="C69" s="17"/>
      <c r="D69" s="244"/>
      <c r="E69" s="238"/>
      <c r="F69" s="178"/>
      <c r="G69" s="238"/>
      <c r="H69" s="238"/>
      <c r="I69" s="238"/>
      <c r="J69" s="238"/>
      <c r="K69" s="238"/>
    </row>
    <row r="70" spans="3:12" x14ac:dyDescent="0.2">
      <c r="C70" s="17"/>
      <c r="D70" s="244"/>
      <c r="E70" s="238"/>
      <c r="F70" s="178"/>
      <c r="G70" s="238"/>
      <c r="H70" s="244"/>
      <c r="I70" s="238"/>
      <c r="J70" s="238"/>
      <c r="K70" s="238"/>
    </row>
    <row r="71" spans="3:12" x14ac:dyDescent="0.2">
      <c r="C71" s="17"/>
      <c r="D71" s="244"/>
      <c r="E71" s="238"/>
      <c r="F71" s="180"/>
      <c r="G71" s="238"/>
      <c r="H71" s="239"/>
      <c r="I71" s="238"/>
      <c r="J71" s="238"/>
      <c r="K71" s="238"/>
      <c r="L71" s="141"/>
    </row>
    <row r="72" spans="3:12" x14ac:dyDescent="0.2">
      <c r="C72" s="17"/>
      <c r="D72" s="245"/>
      <c r="E72" s="238"/>
      <c r="F72" s="178"/>
      <c r="G72" s="238"/>
      <c r="H72" s="244"/>
      <c r="I72" s="238"/>
      <c r="J72" s="238"/>
      <c r="K72" s="238"/>
      <c r="L72" s="141"/>
    </row>
    <row r="73" spans="3:12" x14ac:dyDescent="0.2">
      <c r="C73" s="17"/>
      <c r="D73" s="244"/>
      <c r="E73" s="238"/>
      <c r="F73" s="179"/>
      <c r="G73" s="238"/>
      <c r="H73" s="178"/>
      <c r="I73" s="238"/>
      <c r="J73" s="238"/>
      <c r="K73" s="238"/>
      <c r="L73" s="140"/>
    </row>
    <row r="74" spans="3:12" x14ac:dyDescent="0.2">
      <c r="C74" s="17"/>
      <c r="D74" s="238"/>
      <c r="E74" s="238"/>
      <c r="F74" s="178"/>
      <c r="G74" s="238"/>
      <c r="H74" s="244"/>
      <c r="I74" s="238"/>
      <c r="J74" s="238"/>
      <c r="K74" s="238"/>
      <c r="L74" s="140"/>
    </row>
    <row r="75" spans="3:12" x14ac:dyDescent="0.2">
      <c r="C75" s="17"/>
      <c r="D75" s="238"/>
      <c r="E75" s="238"/>
      <c r="F75" s="178"/>
      <c r="G75" s="238"/>
      <c r="H75" s="178"/>
      <c r="I75" s="238"/>
      <c r="J75" s="238"/>
      <c r="K75" s="238"/>
      <c r="L75" s="140"/>
    </row>
    <row r="76" spans="3:12" x14ac:dyDescent="0.2">
      <c r="C76" s="17"/>
      <c r="D76" s="238"/>
      <c r="E76" s="238"/>
      <c r="F76" s="178"/>
      <c r="G76" s="238"/>
      <c r="H76" s="178"/>
      <c r="I76" s="238"/>
      <c r="J76" s="238"/>
      <c r="K76" s="238"/>
      <c r="L76" s="140"/>
    </row>
    <row r="77" spans="3:12" x14ac:dyDescent="0.2">
      <c r="C77" s="17"/>
      <c r="D77" s="238"/>
      <c r="E77" s="238"/>
      <c r="F77" s="178"/>
      <c r="G77" s="238"/>
      <c r="H77" s="178"/>
      <c r="I77" s="238"/>
      <c r="J77" s="238"/>
      <c r="K77" s="238"/>
      <c r="L77" s="140"/>
    </row>
    <row r="78" spans="3:12" s="2" customFormat="1" x14ac:dyDescent="0.2">
      <c r="C78" s="17"/>
      <c r="D78" s="238"/>
      <c r="E78" s="238"/>
      <c r="F78" s="178"/>
      <c r="G78" s="238"/>
      <c r="H78" s="178"/>
      <c r="I78" s="238"/>
      <c r="J78" s="238"/>
      <c r="K78" s="238"/>
      <c r="L78" s="4"/>
    </row>
    <row r="79" spans="3:12" customFormat="1" x14ac:dyDescent="0.2">
      <c r="C79" s="17"/>
      <c r="D79" s="238"/>
      <c r="E79" s="238"/>
      <c r="F79" s="178"/>
      <c r="G79" s="238"/>
      <c r="H79" s="180"/>
      <c r="I79" s="238"/>
      <c r="J79" s="238"/>
      <c r="K79" s="238"/>
      <c r="L79" s="4"/>
    </row>
    <row r="80" spans="3:12" customFormat="1" ht="15" customHeight="1" x14ac:dyDescent="0.2">
      <c r="C80" s="17"/>
      <c r="D80" s="238"/>
      <c r="E80" s="238"/>
      <c r="F80" s="180"/>
      <c r="G80" s="238"/>
      <c r="H80" s="178"/>
      <c r="I80" s="238"/>
      <c r="J80" s="238"/>
      <c r="K80" s="238"/>
      <c r="L80" s="142"/>
    </row>
    <row r="81" spans="3:12" s="2" customFormat="1" x14ac:dyDescent="0.2">
      <c r="C81" s="17"/>
      <c r="D81" s="238"/>
      <c r="E81" s="238"/>
      <c r="F81" s="178"/>
      <c r="G81" s="238"/>
      <c r="H81" s="244"/>
      <c r="I81" s="238"/>
      <c r="J81" s="238"/>
      <c r="K81" s="238"/>
      <c r="L81" s="4"/>
    </row>
    <row r="82" spans="3:12" s="2" customFormat="1" x14ac:dyDescent="0.2">
      <c r="C82" s="17"/>
      <c r="D82" s="238"/>
      <c r="E82" s="238"/>
      <c r="F82" s="179"/>
      <c r="G82" s="238"/>
      <c r="H82" s="246"/>
      <c r="I82" s="238"/>
      <c r="J82" s="238"/>
      <c r="K82" s="238"/>
      <c r="L82" s="4"/>
    </row>
    <row r="83" spans="3:12" s="2" customFormat="1" x14ac:dyDescent="0.2">
      <c r="C83" s="17"/>
      <c r="D83" s="238"/>
      <c r="E83" s="238"/>
      <c r="F83" s="178"/>
      <c r="G83" s="238"/>
      <c r="H83" s="246"/>
      <c r="I83" s="238"/>
      <c r="J83" s="238"/>
      <c r="K83" s="238"/>
      <c r="L83" s="4"/>
    </row>
    <row r="84" spans="3:12" s="2" customFormat="1" x14ac:dyDescent="0.2">
      <c r="C84" s="17"/>
      <c r="D84" s="238"/>
      <c r="E84" s="238"/>
      <c r="F84" s="178"/>
      <c r="G84" s="238"/>
      <c r="H84" s="238"/>
      <c r="I84" s="238"/>
      <c r="J84" s="238"/>
      <c r="K84" s="238"/>
      <c r="L84" s="4"/>
    </row>
    <row r="85" spans="3:12" x14ac:dyDescent="0.2">
      <c r="C85" s="17"/>
      <c r="D85" s="238"/>
      <c r="E85" s="238"/>
      <c r="F85" s="178"/>
      <c r="G85" s="238"/>
      <c r="H85" s="238"/>
      <c r="I85" s="238"/>
      <c r="J85" s="238"/>
      <c r="K85" s="238"/>
    </row>
    <row r="86" spans="3:12" x14ac:dyDescent="0.2">
      <c r="C86" s="17"/>
      <c r="D86" s="238"/>
      <c r="E86" s="238"/>
      <c r="F86" s="244"/>
      <c r="G86" s="238"/>
      <c r="H86" s="238"/>
      <c r="I86" s="238"/>
      <c r="J86" s="238"/>
      <c r="K86" s="238"/>
    </row>
    <row r="87" spans="3:12" x14ac:dyDescent="0.2">
      <c r="C87" s="17"/>
      <c r="D87" s="238"/>
      <c r="E87" s="238"/>
      <c r="F87" s="244"/>
      <c r="G87" s="238"/>
      <c r="H87" s="238"/>
      <c r="I87" s="238"/>
      <c r="J87" s="238"/>
      <c r="K87" s="238"/>
    </row>
    <row r="88" spans="3:12" x14ac:dyDescent="0.2">
      <c r="C88" s="17"/>
      <c r="D88" s="238"/>
      <c r="E88" s="238"/>
      <c r="F88" s="238"/>
      <c r="G88" s="238"/>
      <c r="H88" s="238"/>
      <c r="I88" s="238"/>
      <c r="J88" s="238"/>
      <c r="K88" s="238"/>
    </row>
    <row r="89" spans="3:12" x14ac:dyDescent="0.2">
      <c r="C89" s="17"/>
      <c r="D89" s="238"/>
      <c r="E89" s="238"/>
      <c r="F89" s="238"/>
      <c r="G89" s="238"/>
      <c r="H89" s="238"/>
      <c r="I89" s="238"/>
      <c r="J89" s="238"/>
      <c r="K89" s="238"/>
    </row>
    <row r="90" spans="3:12" x14ac:dyDescent="0.2">
      <c r="C90" s="17"/>
      <c r="D90" s="238"/>
      <c r="E90" s="238"/>
      <c r="F90" s="238"/>
      <c r="G90" s="238"/>
      <c r="H90" s="238"/>
      <c r="I90" s="238"/>
      <c r="J90" s="238"/>
      <c r="K90" s="238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0"/>
  <sheetViews>
    <sheetView zoomScale="110" zoomScaleNormal="110" zoomScaleSheetLayoutView="75" workbookViewId="0">
      <selection activeCell="C1" sqref="C1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2"/>
      <c r="D6" s="382"/>
      <c r="E6" s="382"/>
      <c r="F6" s="382"/>
      <c r="G6" s="382"/>
      <c r="H6" s="382"/>
      <c r="I6" s="382"/>
      <c r="J6" s="383"/>
      <c r="K6" s="27"/>
    </row>
    <row r="7" spans="2:11" x14ac:dyDescent="0.2">
      <c r="B7" s="28"/>
      <c r="C7" s="382" t="s">
        <v>97</v>
      </c>
      <c r="D7" s="382"/>
      <c r="E7" s="382"/>
      <c r="F7" s="382"/>
      <c r="G7" s="382"/>
      <c r="H7" s="382"/>
      <c r="I7" s="382"/>
      <c r="J7" s="383"/>
      <c r="K7" s="27"/>
    </row>
    <row r="8" spans="2:11" x14ac:dyDescent="0.2">
      <c r="B8" s="28"/>
      <c r="C8" s="382" t="str">
        <f>+RESULTADOS!B10</f>
        <v>DEL 01 DE ENERO AL 31 DE MAYO 2021</v>
      </c>
      <c r="D8" s="382"/>
      <c r="E8" s="382"/>
      <c r="F8" s="382"/>
      <c r="G8" s="382"/>
      <c r="H8" s="382"/>
      <c r="I8" s="382"/>
      <c r="J8" s="383"/>
      <c r="K8" s="27"/>
    </row>
    <row r="9" spans="2:11" x14ac:dyDescent="0.2">
      <c r="B9" s="28"/>
      <c r="C9" s="382" t="str">
        <f>+'SITUACION '!C8:K8</f>
        <v>(Valores en RD$)</v>
      </c>
      <c r="D9" s="382"/>
      <c r="E9" s="382"/>
      <c r="F9" s="382"/>
      <c r="G9" s="382"/>
      <c r="H9" s="382"/>
      <c r="I9" s="382"/>
      <c r="J9" s="383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279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43463920.560000002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200124.9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4644478.99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2690952.51</v>
      </c>
      <c r="H28" s="65">
        <f>SUM(G25:G28)</f>
        <v>50999476.960000001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+H28+H22-1</f>
        <v>51149475.960000001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23140247.219999999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73711284.129999995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26247281.420000002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1632839.05</v>
      </c>
      <c r="H35" s="60"/>
      <c r="I35" s="60"/>
      <c r="J35" s="77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547328.67000000004</v>
      </c>
      <c r="H36" s="65">
        <f>SUM(G32:G36)</f>
        <v>125278980.48999999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10129822.17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78780469.950000003</v>
      </c>
      <c r="H42" s="65">
        <f>SUM(G41:G42)</f>
        <v>88910292.120000005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214189272.61000001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1428442.09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6">
        <v>8793600.0399999991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10222042.129999999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275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3" t="s">
        <v>171</v>
      </c>
      <c r="E64" s="160"/>
      <c r="F64" s="161"/>
      <c r="G64" s="393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4"/>
      <c r="E65" s="96"/>
      <c r="F65" s="97"/>
      <c r="G65" s="394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8">
        <v>90440344.430000007</v>
      </c>
      <c r="H68" s="61">
        <v>29085457.57</v>
      </c>
      <c r="I68" s="166">
        <f>+G68-H68</f>
        <v>61354886.860000007</v>
      </c>
      <c r="J68" s="77"/>
      <c r="K68" s="27"/>
    </row>
    <row r="69" spans="1:11" ht="14.25" hidden="1" customHeight="1" x14ac:dyDescent="0.2">
      <c r="B69" s="72"/>
      <c r="C69" s="347" t="s">
        <v>206</v>
      </c>
      <c r="D69" s="76"/>
      <c r="E69" s="76"/>
      <c r="F69" s="67"/>
      <c r="G69" s="338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7" t="s">
        <v>249</v>
      </c>
      <c r="D70" s="76"/>
      <c r="E70" s="76"/>
      <c r="F70" s="67"/>
      <c r="G70" s="338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7" t="s">
        <v>207</v>
      </c>
      <c r="D71" s="76"/>
      <c r="E71" s="76"/>
      <c r="F71" s="67"/>
      <c r="G71" s="338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7" t="s">
        <v>210</v>
      </c>
      <c r="D72" s="76"/>
      <c r="E72" s="76"/>
      <c r="F72" s="67"/>
      <c r="G72" s="338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7" t="s">
        <v>148</v>
      </c>
      <c r="D73" s="76"/>
      <c r="E73" s="76"/>
      <c r="F73" s="329"/>
      <c r="G73" s="338">
        <f>17037922.94+50521.7</f>
        <v>17088444.640000001</v>
      </c>
      <c r="H73" s="61">
        <v>16647019.369999999</v>
      </c>
      <c r="I73" s="166">
        <f>+G73-H73</f>
        <v>441425.27000000142</v>
      </c>
      <c r="J73" s="77"/>
      <c r="K73" s="27"/>
    </row>
    <row r="74" spans="1:11" ht="15.75" customHeight="1" x14ac:dyDescent="0.2">
      <c r="B74" s="72"/>
      <c r="C74" s="347" t="s">
        <v>74</v>
      </c>
      <c r="D74" s="76"/>
      <c r="E74" s="76"/>
      <c r="F74" s="67"/>
      <c r="G74" s="338">
        <f>35108624.62+1670724.48</f>
        <v>36779349.099999994</v>
      </c>
      <c r="H74" s="61">
        <v>31139162.300000001</v>
      </c>
      <c r="I74" s="166">
        <f>+G74-H74</f>
        <v>5640186.7999999933</v>
      </c>
      <c r="J74" s="77"/>
      <c r="K74" s="27"/>
    </row>
    <row r="75" spans="1:11" x14ac:dyDescent="0.2">
      <c r="A75" s="8"/>
      <c r="B75" s="72"/>
      <c r="C75" s="347" t="s">
        <v>40</v>
      </c>
      <c r="D75" s="76"/>
      <c r="E75" s="76"/>
      <c r="F75" s="67"/>
      <c r="G75" s="338">
        <v>6702331.7299999995</v>
      </c>
      <c r="H75" s="61">
        <v>2923173.12</v>
      </c>
      <c r="I75" s="166">
        <f>+G75-H75</f>
        <v>3779158.6099999994</v>
      </c>
      <c r="J75" s="77"/>
      <c r="K75" s="27"/>
    </row>
    <row r="76" spans="1:11" hidden="1" x14ac:dyDescent="0.2">
      <c r="A76" s="8"/>
      <c r="B76" s="72"/>
      <c r="C76" s="347" t="s">
        <v>161</v>
      </c>
      <c r="D76" s="76"/>
      <c r="E76" s="76"/>
      <c r="F76" s="67"/>
      <c r="G76" s="338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7" t="s">
        <v>42</v>
      </c>
      <c r="D77" s="76"/>
      <c r="E77" s="76"/>
      <c r="F77" s="67"/>
      <c r="G77" s="338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7" t="s">
        <v>166</v>
      </c>
      <c r="D78" s="76"/>
      <c r="E78" s="76"/>
      <c r="F78" s="67"/>
      <c r="G78" s="338">
        <f>20523891.97-782546.82-1</f>
        <v>19741344.149999999</v>
      </c>
      <c r="H78" s="61">
        <v>18578661.219999999</v>
      </c>
      <c r="I78" s="166">
        <f>+G78-H78</f>
        <v>1162682.9299999997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8">
        <v>51359484.789999999</v>
      </c>
      <c r="H79" s="61">
        <v>44148068.170000002</v>
      </c>
      <c r="I79" s="166">
        <f>+G79-H79</f>
        <v>7211416.6199999973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6">
        <f>17605611.47+94400</f>
        <v>17700011.469999999</v>
      </c>
      <c r="H80" s="98">
        <v>8295578.2599999998</v>
      </c>
      <c r="I80" s="166">
        <f>+G80-H80</f>
        <v>9404433.209999999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484301632.10000002</v>
      </c>
      <c r="H81" s="99">
        <f>SUM(H68:H80)</f>
        <v>150817120.00999999</v>
      </c>
      <c r="I81" s="170">
        <f>SUM(I67:I80)</f>
        <v>333484512.09000003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247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215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248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245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246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214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80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81"/>
      <c r="J103" s="101"/>
    </row>
    <row r="104" spans="2:10" ht="14.25" customHeight="1" x14ac:dyDescent="0.2">
      <c r="B104" s="100"/>
      <c r="C104" s="54"/>
      <c r="D104" s="54" t="s">
        <v>165</v>
      </c>
      <c r="E104" s="356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6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9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9"/>
      <c r="F108" s="357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40" t="s">
        <v>250</v>
      </c>
      <c r="E109" s="340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9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263</v>
      </c>
      <c r="E111" s="341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276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688697.03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14431213.359999999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15119910.389999999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277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256</v>
      </c>
      <c r="G127" s="90"/>
      <c r="H127" s="105">
        <v>435260884.14999998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435260884.14999998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278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9">
        <v>3882521.62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242024.08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105">
        <v>8605542.459999999</v>
      </c>
      <c r="I140" s="66"/>
      <c r="J140" s="108"/>
    </row>
    <row r="141" spans="2:10" hidden="1" x14ac:dyDescent="0.2">
      <c r="B141" s="100"/>
      <c r="C141" s="67"/>
      <c r="D141" s="94" t="s">
        <v>89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203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150</v>
      </c>
      <c r="E143" s="121"/>
      <c r="F143" s="94"/>
      <c r="G143" s="112"/>
      <c r="H143" s="105">
        <v>36285017.369999997</v>
      </c>
      <c r="I143" s="66"/>
      <c r="J143" s="108"/>
    </row>
    <row r="144" spans="2:10" hidden="1" x14ac:dyDescent="0.2">
      <c r="B144" s="100"/>
      <c r="C144" s="67"/>
      <c r="D144" s="94" t="s">
        <v>20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264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127</v>
      </c>
      <c r="H146" s="115">
        <f>SUM(H138:H145)</f>
        <v>51812505.530000001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128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182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71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188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151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72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106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107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5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C4" sqref="C4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1"/>
      <c r="D6" s="21"/>
      <c r="E6" s="21"/>
      <c r="F6" s="21"/>
      <c r="G6" s="269"/>
    </row>
    <row r="7" spans="2:7" x14ac:dyDescent="0.2">
      <c r="B7" s="268"/>
      <c r="C7" s="21"/>
      <c r="D7" s="21"/>
      <c r="E7" s="21"/>
      <c r="F7" s="21"/>
      <c r="G7" s="269"/>
    </row>
    <row r="8" spans="2:7" x14ac:dyDescent="0.2">
      <c r="B8" s="268"/>
      <c r="C8" s="5"/>
      <c r="D8" s="5"/>
      <c r="E8" s="5"/>
      <c r="F8" s="5"/>
      <c r="G8" s="269"/>
    </row>
    <row r="9" spans="2:7" x14ac:dyDescent="0.2">
      <c r="B9" s="385" t="s">
        <v>1</v>
      </c>
      <c r="C9" s="386"/>
      <c r="D9" s="386"/>
      <c r="E9" s="386"/>
      <c r="F9" s="386"/>
      <c r="G9" s="387"/>
    </row>
    <row r="10" spans="2:7" x14ac:dyDescent="0.2">
      <c r="B10" s="385" t="str">
        <f>+'CASH F'!$B$10:$F$10</f>
        <v>DEL 01 DE ENERO AL 31 DE MAYO 2021</v>
      </c>
      <c r="C10" s="386"/>
      <c r="D10" s="386"/>
      <c r="E10" s="386"/>
      <c r="F10" s="386"/>
      <c r="G10" s="387"/>
    </row>
    <row r="11" spans="2:7" x14ac:dyDescent="0.2">
      <c r="B11" s="385" t="s">
        <v>167</v>
      </c>
      <c r="C11" s="386"/>
      <c r="D11" s="386"/>
      <c r="E11" s="386"/>
      <c r="F11" s="386"/>
      <c r="G11" s="387"/>
    </row>
    <row r="12" spans="2:7" ht="15" thickBot="1" x14ac:dyDescent="0.25">
      <c r="B12" s="279"/>
      <c r="C12" s="22"/>
      <c r="D12" s="22"/>
      <c r="E12" s="22"/>
      <c r="F12" s="22"/>
      <c r="G12" s="280"/>
    </row>
    <row r="13" spans="2:7" x14ac:dyDescent="0.2">
      <c r="B13" s="281"/>
      <c r="C13" s="54"/>
      <c r="D13" s="54"/>
      <c r="E13" s="54"/>
      <c r="F13" s="54"/>
      <c r="G13" s="101"/>
    </row>
    <row r="14" spans="2:7" x14ac:dyDescent="0.2">
      <c r="B14" s="281"/>
      <c r="C14" s="54"/>
      <c r="D14" s="325" t="s">
        <v>274</v>
      </c>
      <c r="E14" s="53"/>
      <c r="F14" s="325" t="s">
        <v>68</v>
      </c>
      <c r="G14" s="101"/>
    </row>
    <row r="15" spans="2:7" x14ac:dyDescent="0.2">
      <c r="B15" s="281"/>
      <c r="C15" s="54"/>
      <c r="D15" s="54"/>
      <c r="E15" s="54"/>
      <c r="F15" s="54"/>
      <c r="G15" s="101"/>
    </row>
    <row r="16" spans="2:7" x14ac:dyDescent="0.2">
      <c r="B16" s="281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81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81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81"/>
      <c r="C19" s="54"/>
      <c r="D19" s="105"/>
      <c r="E19" s="105"/>
      <c r="F19" s="105"/>
      <c r="G19" s="101"/>
    </row>
    <row r="20" spans="2:7" x14ac:dyDescent="0.2">
      <c r="B20" s="281"/>
      <c r="C20" s="218" t="s">
        <v>129</v>
      </c>
      <c r="D20" s="256">
        <v>21453560</v>
      </c>
      <c r="F20" s="256">
        <v>103707218.62</v>
      </c>
      <c r="G20" s="101"/>
    </row>
    <row r="21" spans="2:7" x14ac:dyDescent="0.2">
      <c r="B21" s="281"/>
      <c r="C21" s="218" t="s">
        <v>138</v>
      </c>
      <c r="D21" s="256">
        <v>34797881.549999997</v>
      </c>
      <c r="E21" s="260"/>
      <c r="F21" s="256">
        <v>168057819.94</v>
      </c>
      <c r="G21" s="101"/>
    </row>
    <row r="22" spans="2:7" x14ac:dyDescent="0.2">
      <c r="B22" s="281"/>
      <c r="C22" s="218" t="s">
        <v>144</v>
      </c>
      <c r="D22" s="256">
        <v>197388</v>
      </c>
      <c r="E22" s="282"/>
      <c r="F22" s="256">
        <v>1010787.45</v>
      </c>
      <c r="G22" s="101"/>
    </row>
    <row r="23" spans="2:7" hidden="1" x14ac:dyDescent="0.2">
      <c r="B23" s="281"/>
      <c r="C23" s="218" t="s">
        <v>146</v>
      </c>
      <c r="D23" s="256">
        <v>0</v>
      </c>
      <c r="E23" s="237"/>
      <c r="F23" s="256">
        <v>0</v>
      </c>
      <c r="G23" s="101"/>
    </row>
    <row r="24" spans="2:7" x14ac:dyDescent="0.2">
      <c r="B24" s="281"/>
      <c r="C24" s="218" t="s">
        <v>87</v>
      </c>
      <c r="D24" s="257">
        <v>725634</v>
      </c>
      <c r="E24" s="256"/>
      <c r="F24" s="257">
        <v>4198205.37</v>
      </c>
      <c r="G24" s="101"/>
    </row>
    <row r="25" spans="2:7" x14ac:dyDescent="0.2">
      <c r="B25" s="281"/>
      <c r="C25" s="64" t="s">
        <v>168</v>
      </c>
      <c r="D25" s="378">
        <f>SUM(D20:D24)</f>
        <v>57174463.549999997</v>
      </c>
      <c r="E25" s="105"/>
      <c r="F25" s="62">
        <f>SUM(F20:F24)</f>
        <v>276974031.38</v>
      </c>
      <c r="G25" s="101"/>
    </row>
    <row r="26" spans="2:7" x14ac:dyDescent="0.2">
      <c r="B26" s="281"/>
      <c r="D26" s="371"/>
      <c r="E26" s="328"/>
      <c r="G26" s="101"/>
    </row>
    <row r="27" spans="2:7" x14ac:dyDescent="0.2">
      <c r="B27" s="281"/>
      <c r="C27" s="51" t="s">
        <v>195</v>
      </c>
      <c r="D27" s="283"/>
      <c r="F27" s="375"/>
      <c r="G27" s="101"/>
    </row>
    <row r="28" spans="2:7" x14ac:dyDescent="0.2">
      <c r="B28" s="281"/>
      <c r="C28" s="51"/>
      <c r="D28" s="105"/>
      <c r="E28" s="105"/>
      <c r="F28" s="105"/>
      <c r="G28" s="101"/>
    </row>
    <row r="29" spans="2:7" x14ac:dyDescent="0.2">
      <c r="B29" s="281"/>
      <c r="C29" s="258" t="s">
        <v>75</v>
      </c>
      <c r="D29" s="370">
        <v>74167820.349999994</v>
      </c>
      <c r="E29" s="371"/>
      <c r="F29" s="370">
        <v>246989417.03999999</v>
      </c>
      <c r="G29" s="101"/>
    </row>
    <row r="30" spans="2:7" x14ac:dyDescent="0.2">
      <c r="B30" s="281"/>
      <c r="C30" s="259" t="s">
        <v>76</v>
      </c>
      <c r="D30" s="370">
        <v>7423725.5999999996</v>
      </c>
      <c r="E30" s="372"/>
      <c r="F30" s="370">
        <v>27122188.899999999</v>
      </c>
      <c r="G30" s="101"/>
    </row>
    <row r="31" spans="2:7" x14ac:dyDescent="0.2">
      <c r="B31" s="281"/>
      <c r="C31" s="259" t="s">
        <v>209</v>
      </c>
      <c r="D31" s="370">
        <v>3038920.47</v>
      </c>
      <c r="E31" s="372"/>
      <c r="F31" s="370">
        <v>9151062.3300000001</v>
      </c>
      <c r="G31" s="101"/>
    </row>
    <row r="32" spans="2:7" x14ac:dyDescent="0.2">
      <c r="B32" s="281"/>
      <c r="C32" s="259" t="s">
        <v>93</v>
      </c>
      <c r="D32" s="370">
        <v>1055637.73</v>
      </c>
      <c r="E32" s="371"/>
      <c r="F32" s="370">
        <v>5140152.43</v>
      </c>
      <c r="G32" s="101"/>
    </row>
    <row r="33" spans="2:7" x14ac:dyDescent="0.2">
      <c r="B33" s="281"/>
      <c r="C33" s="259" t="s">
        <v>77</v>
      </c>
      <c r="D33" s="373">
        <v>114350</v>
      </c>
      <c r="E33" s="371"/>
      <c r="F33" s="373">
        <v>1476492.6</v>
      </c>
      <c r="G33" s="101"/>
    </row>
    <row r="34" spans="2:7" x14ac:dyDescent="0.2">
      <c r="B34" s="281"/>
      <c r="C34" s="58" t="s">
        <v>79</v>
      </c>
      <c r="D34" s="62">
        <f>SUM(D29:D33)</f>
        <v>85800454.149999991</v>
      </c>
      <c r="E34" s="111"/>
      <c r="F34" s="62">
        <f>SUM(F29:F33)</f>
        <v>289879313.30000001</v>
      </c>
      <c r="G34" s="101"/>
    </row>
    <row r="35" spans="2:7" x14ac:dyDescent="0.2">
      <c r="B35" s="281"/>
      <c r="C35" s="58"/>
      <c r="D35" s="111"/>
      <c r="E35" s="111"/>
      <c r="F35" s="111"/>
      <c r="G35" s="101"/>
    </row>
    <row r="36" spans="2:7" hidden="1" x14ac:dyDescent="0.2">
      <c r="B36" s="281"/>
      <c r="C36" s="51" t="s">
        <v>78</v>
      </c>
      <c r="D36" s="105"/>
      <c r="E36" s="50"/>
      <c r="F36" s="105"/>
      <c r="G36" s="101"/>
    </row>
    <row r="37" spans="2:7" hidden="1" x14ac:dyDescent="0.2">
      <c r="B37" s="281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81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81"/>
      <c r="C39" s="58"/>
      <c r="D39" s="111"/>
      <c r="E39" s="111"/>
      <c r="F39" s="111"/>
      <c r="G39" s="101"/>
    </row>
    <row r="40" spans="2:7" x14ac:dyDescent="0.2">
      <c r="B40" s="281"/>
      <c r="C40" s="64" t="s">
        <v>61</v>
      </c>
      <c r="D40" s="62">
        <f>+D38+D34</f>
        <v>85800454.149999991</v>
      </c>
      <c r="E40" s="105"/>
      <c r="F40" s="62">
        <f>+F38+F34</f>
        <v>289879313.30000001</v>
      </c>
      <c r="G40" s="101"/>
    </row>
    <row r="41" spans="2:7" x14ac:dyDescent="0.2">
      <c r="B41" s="281"/>
      <c r="C41" s="54"/>
      <c r="D41" s="105"/>
      <c r="E41" s="105"/>
      <c r="F41" s="114"/>
      <c r="G41" s="101"/>
    </row>
    <row r="42" spans="2:7" ht="15" thickBot="1" x14ac:dyDescent="0.25">
      <c r="B42" s="281"/>
      <c r="C42" s="64" t="s">
        <v>147</v>
      </c>
      <c r="D42" s="115">
        <f>+D25-D40+1</f>
        <v>-28625989.599999994</v>
      </c>
      <c r="E42" s="105"/>
      <c r="F42" s="115">
        <f>+F25-F34</f>
        <v>-12905281.920000017</v>
      </c>
      <c r="G42" s="101"/>
    </row>
    <row r="43" spans="2:7" ht="15" thickTop="1" x14ac:dyDescent="0.2">
      <c r="B43" s="281"/>
      <c r="C43" s="54"/>
      <c r="D43" s="60"/>
      <c r="E43" s="67"/>
      <c r="F43" s="67"/>
      <c r="G43" s="101"/>
    </row>
    <row r="44" spans="2:7" ht="14.25" hidden="1" customHeight="1" x14ac:dyDescent="0.2">
      <c r="B44" s="281"/>
      <c r="C44" s="51"/>
      <c r="D44" s="60"/>
      <c r="E44" s="67"/>
      <c r="F44" s="67"/>
      <c r="G44" s="101"/>
    </row>
    <row r="45" spans="2:7" hidden="1" x14ac:dyDescent="0.2">
      <c r="B45" s="281"/>
      <c r="C45" s="51"/>
      <c r="D45" s="60"/>
      <c r="E45" s="67"/>
      <c r="F45" s="67"/>
      <c r="G45" s="101"/>
    </row>
    <row r="46" spans="2:7" hidden="1" x14ac:dyDescent="0.2">
      <c r="B46" s="281"/>
      <c r="C46" s="51"/>
      <c r="D46" s="60"/>
      <c r="E46" s="67"/>
      <c r="F46" s="67"/>
      <c r="G46" s="101"/>
    </row>
    <row r="47" spans="2:7" x14ac:dyDescent="0.2">
      <c r="B47" s="281"/>
      <c r="C47" s="59"/>
      <c r="D47" s="86"/>
      <c r="E47" s="50"/>
      <c r="F47" s="50"/>
      <c r="G47" s="101"/>
    </row>
    <row r="48" spans="2:7" x14ac:dyDescent="0.2">
      <c r="B48" s="281"/>
      <c r="C48" s="59"/>
      <c r="D48" s="283"/>
      <c r="E48" s="50"/>
      <c r="F48" s="283"/>
      <c r="G48" s="101"/>
    </row>
    <row r="49" spans="2:8" x14ac:dyDescent="0.2">
      <c r="B49" s="281"/>
      <c r="C49" s="54"/>
      <c r="D49" s="283"/>
      <c r="E49" s="283"/>
      <c r="F49" s="283"/>
      <c r="G49" s="101"/>
    </row>
    <row r="50" spans="2:8" x14ac:dyDescent="0.2">
      <c r="B50" s="281"/>
      <c r="C50" s="54"/>
      <c r="E50" s="54"/>
      <c r="F50" s="127"/>
      <c r="G50" s="101"/>
    </row>
    <row r="51" spans="2:8" ht="15" thickBot="1" x14ac:dyDescent="0.25">
      <c r="B51" s="284"/>
      <c r="C51" s="157"/>
      <c r="D51" s="285"/>
      <c r="E51" s="157"/>
      <c r="F51" s="286"/>
      <c r="G51" s="287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3" t="s">
        <v>268</v>
      </c>
      <c r="D56" s="395" t="s">
        <v>212</v>
      </c>
      <c r="E56" s="395"/>
      <c r="F56" s="395"/>
      <c r="G56" s="13"/>
    </row>
    <row r="57" spans="2:8" s="6" customFormat="1" x14ac:dyDescent="0.2">
      <c r="B57" s="12"/>
      <c r="C57" s="15" t="s">
        <v>269</v>
      </c>
      <c r="D57" s="392" t="s">
        <v>189</v>
      </c>
      <c r="E57" s="392"/>
      <c r="F57" s="392"/>
      <c r="G57" s="14"/>
      <c r="H57" s="3"/>
    </row>
    <row r="58" spans="2:8" s="6" customFormat="1" x14ac:dyDescent="0.2">
      <c r="B58" s="12"/>
      <c r="D58" s="262"/>
      <c r="E58" s="262"/>
      <c r="F58" s="262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266</v>
      </c>
      <c r="D61" s="13"/>
      <c r="E61" s="13"/>
      <c r="F61" s="13"/>
      <c r="G61" s="13"/>
    </row>
    <row r="62" spans="2:8" s="18" customFormat="1" x14ac:dyDescent="0.2">
      <c r="B62" s="13"/>
      <c r="C62" s="263" t="s">
        <v>39</v>
      </c>
      <c r="D62" s="263"/>
      <c r="E62" s="263"/>
      <c r="F62" s="263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G82"/>
  <sheetViews>
    <sheetView zoomScale="110" zoomScaleNormal="110" workbookViewId="0">
      <selection activeCell="B3" sqref="B3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4"/>
      <c r="D5" s="45"/>
      <c r="E5" s="45"/>
      <c r="F5" s="293"/>
    </row>
    <row r="6" spans="2:6" x14ac:dyDescent="0.2">
      <c r="B6" s="292"/>
      <c r="C6" s="44"/>
      <c r="D6" s="45"/>
      <c r="E6" s="45"/>
      <c r="F6" s="293"/>
    </row>
    <row r="7" spans="2:6" x14ac:dyDescent="0.2">
      <c r="B7" s="292"/>
      <c r="C7" s="44"/>
      <c r="D7" s="45"/>
      <c r="E7" s="45"/>
      <c r="F7" s="294"/>
    </row>
    <row r="8" spans="2:6" x14ac:dyDescent="0.2">
      <c r="B8" s="295"/>
      <c r="C8" s="20"/>
      <c r="D8" s="20"/>
      <c r="E8" s="20"/>
      <c r="F8" s="296"/>
    </row>
    <row r="9" spans="2:6" x14ac:dyDescent="0.2">
      <c r="B9" s="385" t="s">
        <v>7</v>
      </c>
      <c r="C9" s="386"/>
      <c r="D9" s="386"/>
      <c r="E9" s="386"/>
      <c r="F9" s="387"/>
    </row>
    <row r="10" spans="2:6" x14ac:dyDescent="0.2">
      <c r="B10" s="385" t="s">
        <v>273</v>
      </c>
      <c r="C10" s="386"/>
      <c r="D10" s="386"/>
      <c r="E10" s="386"/>
      <c r="F10" s="387"/>
    </row>
    <row r="11" spans="2:6" x14ac:dyDescent="0.2">
      <c r="B11" s="385" t="s">
        <v>167</v>
      </c>
      <c r="C11" s="386"/>
      <c r="D11" s="386"/>
      <c r="E11" s="386"/>
      <c r="F11" s="387"/>
    </row>
    <row r="12" spans="2:6" ht="15" thickBot="1" x14ac:dyDescent="0.25">
      <c r="B12" s="297"/>
      <c r="C12" s="46"/>
      <c r="D12" s="47"/>
      <c r="E12" s="47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60" t="s">
        <v>196</v>
      </c>
      <c r="C14" s="86"/>
      <c r="D14" s="130"/>
      <c r="E14" s="131"/>
      <c r="F14" s="302"/>
    </row>
    <row r="15" spans="2:6" x14ac:dyDescent="0.2">
      <c r="B15" s="301"/>
      <c r="C15" s="86"/>
      <c r="D15" s="130"/>
      <c r="E15" s="131"/>
      <c r="F15" s="302"/>
    </row>
    <row r="16" spans="2:6" x14ac:dyDescent="0.2">
      <c r="B16" s="361" t="s">
        <v>199</v>
      </c>
      <c r="C16" s="86"/>
      <c r="D16" s="130"/>
      <c r="E16" s="131"/>
      <c r="F16" s="302"/>
    </row>
    <row r="17" spans="2:7" x14ac:dyDescent="0.2">
      <c r="B17" s="362" t="s">
        <v>0</v>
      </c>
      <c r="C17" s="86"/>
      <c r="D17" s="130"/>
      <c r="E17" s="345" t="str">
        <f>+RESULTADOS!D14</f>
        <v>Mayo</v>
      </c>
      <c r="F17" s="368" t="str">
        <f>+RESULTADOS!F14</f>
        <v>Acumulado</v>
      </c>
    </row>
    <row r="18" spans="2:7" x14ac:dyDescent="0.2">
      <c r="B18" s="303"/>
      <c r="C18" s="86"/>
      <c r="D18" s="130"/>
      <c r="E18" s="130"/>
      <c r="F18" s="302"/>
    </row>
    <row r="19" spans="2:7" ht="12.75" customHeight="1" x14ac:dyDescent="0.2">
      <c r="B19" s="304" t="s">
        <v>83</v>
      </c>
      <c r="C19" s="86"/>
      <c r="D19" s="130"/>
      <c r="E19" s="57">
        <f>+RESULTADOS!D42</f>
        <v>-28625989.599999994</v>
      </c>
      <c r="F19" s="302">
        <f>+RESULTADOS!F42</f>
        <v>-12905281.920000017</v>
      </c>
      <c r="G19" s="8"/>
    </row>
    <row r="20" spans="2:7" ht="12" customHeight="1" x14ac:dyDescent="0.2">
      <c r="B20" s="304"/>
      <c r="C20" s="86"/>
      <c r="D20" s="130"/>
      <c r="E20" s="57"/>
      <c r="F20" s="302"/>
      <c r="G20" s="8"/>
    </row>
    <row r="21" spans="2:7" ht="14.25" customHeight="1" x14ac:dyDescent="0.2">
      <c r="B21" s="281" t="s">
        <v>155</v>
      </c>
      <c r="C21" s="67"/>
      <c r="D21" s="131"/>
      <c r="E21" s="334">
        <v>-113344.43</v>
      </c>
      <c r="F21" s="305">
        <f>-46428.45+E21</f>
        <v>-159772.88</v>
      </c>
      <c r="G21" s="8"/>
    </row>
    <row r="22" spans="2:7" ht="14.25" customHeight="1" x14ac:dyDescent="0.2">
      <c r="B22" s="281" t="s">
        <v>109</v>
      </c>
      <c r="C22" s="67"/>
      <c r="D22" s="131"/>
      <c r="E22" s="348">
        <v>8972.98</v>
      </c>
      <c r="F22" s="305">
        <f>633165.88+E22</f>
        <v>642138.86</v>
      </c>
      <c r="G22" s="8"/>
    </row>
    <row r="23" spans="2:7" ht="14.25" hidden="1" customHeight="1" x14ac:dyDescent="0.2">
      <c r="B23" s="281" t="s">
        <v>12</v>
      </c>
      <c r="C23" s="67"/>
      <c r="D23" s="131"/>
      <c r="E23" s="348">
        <v>0</v>
      </c>
      <c r="F23" s="305">
        <v>0</v>
      </c>
      <c r="G23" s="8"/>
    </row>
    <row r="24" spans="2:7" s="48" customFormat="1" x14ac:dyDescent="0.2">
      <c r="B24" s="281" t="s">
        <v>158</v>
      </c>
      <c r="C24" s="86"/>
      <c r="D24" s="130"/>
      <c r="E24" s="348">
        <v>-6870838.1600000001</v>
      </c>
      <c r="F24" s="305">
        <f>3356948.63+E24</f>
        <v>-3513889.5300000003</v>
      </c>
      <c r="G24" s="8"/>
    </row>
    <row r="25" spans="2:7" s="48" customFormat="1" ht="13.5" customHeight="1" x14ac:dyDescent="0.2">
      <c r="B25" s="281" t="s">
        <v>81</v>
      </c>
      <c r="C25" s="86"/>
      <c r="D25" s="130"/>
      <c r="E25" s="348">
        <v>-54969.06</v>
      </c>
      <c r="F25" s="305">
        <f>-1107040.77+E25</f>
        <v>-1162009.83</v>
      </c>
      <c r="G25" s="8"/>
    </row>
    <row r="26" spans="2:7" s="48" customFormat="1" ht="13.5" customHeight="1" x14ac:dyDescent="0.2">
      <c r="B26" s="281" t="s">
        <v>123</v>
      </c>
      <c r="C26" s="86"/>
      <c r="D26" s="130"/>
      <c r="E26" s="348">
        <v>204063.11</v>
      </c>
      <c r="F26" s="305">
        <f>1535551.17+E26</f>
        <v>1739614.2799999998</v>
      </c>
      <c r="G26" s="8"/>
    </row>
    <row r="27" spans="2:7" s="48" customFormat="1" x14ac:dyDescent="0.2">
      <c r="B27" s="281" t="s">
        <v>73</v>
      </c>
      <c r="C27" s="86"/>
      <c r="D27" s="130"/>
      <c r="E27" s="348">
        <v>12202055.99</v>
      </c>
      <c r="F27" s="305">
        <f>-300349.66+E27</f>
        <v>11901706.33</v>
      </c>
      <c r="G27" s="8"/>
    </row>
    <row r="28" spans="2:7" s="48" customFormat="1" x14ac:dyDescent="0.2">
      <c r="B28" s="281" t="s">
        <v>108</v>
      </c>
      <c r="C28" s="86"/>
      <c r="D28" s="130"/>
      <c r="E28" s="348">
        <v>35093.810000000005</v>
      </c>
      <c r="F28" s="305">
        <f>-980117.5+E28</f>
        <v>-945023.69</v>
      </c>
      <c r="G28" s="8"/>
    </row>
    <row r="29" spans="2:7" s="48" customFormat="1" x14ac:dyDescent="0.2">
      <c r="B29" s="281" t="s">
        <v>82</v>
      </c>
      <c r="C29" s="86"/>
      <c r="D29" s="130"/>
      <c r="E29" s="348">
        <v>-8091574.6200000001</v>
      </c>
      <c r="F29" s="305">
        <f>57624432.02+E29</f>
        <v>49532857.400000006</v>
      </c>
      <c r="G29" s="8"/>
    </row>
    <row r="30" spans="2:7" s="48" customFormat="1" hidden="1" x14ac:dyDescent="0.2">
      <c r="B30" s="281" t="s">
        <v>164</v>
      </c>
      <c r="C30" s="86"/>
      <c r="D30" s="130"/>
      <c r="E30" s="348">
        <v>0</v>
      </c>
      <c r="F30" s="305">
        <v>0</v>
      </c>
      <c r="G30" s="8"/>
    </row>
    <row r="31" spans="2:7" s="48" customFormat="1" x14ac:dyDescent="0.2">
      <c r="B31" s="281" t="s">
        <v>103</v>
      </c>
      <c r="C31" s="86"/>
      <c r="D31" s="130"/>
      <c r="E31" s="334">
        <v>321893.25</v>
      </c>
      <c r="F31" s="305">
        <f>-1532382.37+E31</f>
        <v>-1210489.1200000001</v>
      </c>
      <c r="G31" s="8"/>
    </row>
    <row r="32" spans="2:7" s="48" customFormat="1" x14ac:dyDescent="0.2">
      <c r="B32" s="281" t="s">
        <v>257</v>
      </c>
      <c r="C32" s="86"/>
      <c r="D32" s="130"/>
      <c r="E32" s="334">
        <v>70769265.909999996</v>
      </c>
      <c r="F32" s="305">
        <f>14268665.69+E32</f>
        <v>85037931.599999994</v>
      </c>
      <c r="G32" s="8"/>
    </row>
    <row r="33" spans="2:7" s="48" customFormat="1" ht="15" thickBot="1" x14ac:dyDescent="0.25">
      <c r="B33" s="365"/>
      <c r="C33" s="117"/>
      <c r="D33" s="366"/>
      <c r="E33" s="366"/>
      <c r="F33" s="367"/>
      <c r="G33" s="35"/>
    </row>
    <row r="34" spans="2:7" ht="16.5" customHeight="1" thickTop="1" thickBot="1" x14ac:dyDescent="0.25">
      <c r="B34" s="363" t="s">
        <v>197</v>
      </c>
      <c r="C34" s="132"/>
      <c r="D34" s="133" t="e">
        <f>+#REF!</f>
        <v>#REF!</v>
      </c>
      <c r="E34" s="364">
        <f>SUM(E19:E33)</f>
        <v>39784629.18</v>
      </c>
      <c r="F34" s="313">
        <f>SUM(F19:F33)</f>
        <v>128957781.49999999</v>
      </c>
      <c r="G34" s="8"/>
    </row>
    <row r="35" spans="2:7" ht="14.25" customHeight="1" x14ac:dyDescent="0.2">
      <c r="B35" s="309"/>
      <c r="C35" s="128"/>
      <c r="D35" s="129"/>
      <c r="E35" s="129"/>
      <c r="F35" s="300"/>
      <c r="G35" s="8"/>
    </row>
    <row r="36" spans="2:7" x14ac:dyDescent="0.2">
      <c r="B36" s="301" t="s">
        <v>216</v>
      </c>
      <c r="C36" s="86"/>
      <c r="D36" s="130"/>
      <c r="E36" s="131"/>
      <c r="F36" s="302"/>
      <c r="G36" s="8"/>
    </row>
    <row r="37" spans="2:7" x14ac:dyDescent="0.2">
      <c r="B37" s="310"/>
      <c r="C37" s="86"/>
      <c r="D37" s="130"/>
      <c r="E37" s="344"/>
      <c r="F37" s="311"/>
      <c r="G37" s="8"/>
    </row>
    <row r="38" spans="2:7" x14ac:dyDescent="0.2">
      <c r="B38" s="312" t="s">
        <v>200</v>
      </c>
      <c r="C38" s="86"/>
      <c r="D38" s="130"/>
      <c r="E38" s="335">
        <v>-100555971.59</v>
      </c>
      <c r="F38" s="306">
        <f>-1063767.45+E38</f>
        <v>-101619739.04000001</v>
      </c>
      <c r="G38" s="8">
        <v>54483800.640000001</v>
      </c>
    </row>
    <row r="39" spans="2:7" ht="12.75" customHeight="1" x14ac:dyDescent="0.2">
      <c r="B39" s="312" t="s">
        <v>84</v>
      </c>
      <c r="C39" s="67"/>
      <c r="D39" s="131"/>
      <c r="E39" s="335">
        <v>167118.82999999999</v>
      </c>
      <c r="F39" s="306">
        <f>340057.72000001+E39</f>
        <v>507176.55000000994</v>
      </c>
      <c r="G39" s="8"/>
    </row>
    <row r="40" spans="2:7" x14ac:dyDescent="0.2">
      <c r="B40" s="312" t="s">
        <v>85</v>
      </c>
      <c r="C40" s="67"/>
      <c r="D40" s="131"/>
      <c r="E40" s="335">
        <v>-1410834.2</v>
      </c>
      <c r="F40" s="306">
        <f>104121.03+E40</f>
        <v>-1306713.17</v>
      </c>
      <c r="G40" s="8"/>
    </row>
    <row r="41" spans="2:7" x14ac:dyDescent="0.2">
      <c r="B41" s="312" t="s">
        <v>86</v>
      </c>
      <c r="C41" s="67"/>
      <c r="D41" s="131"/>
      <c r="E41" s="335">
        <v>163974.16</v>
      </c>
      <c r="F41" s="306">
        <f>258053.02+E41</f>
        <v>422027.18</v>
      </c>
      <c r="G41" s="8"/>
    </row>
    <row r="42" spans="2:7" ht="12.75" customHeight="1" x14ac:dyDescent="0.2">
      <c r="B42" s="312" t="s">
        <v>94</v>
      </c>
      <c r="C42" s="67"/>
      <c r="D42" s="131"/>
      <c r="E42" s="335">
        <v>312932.03000000003</v>
      </c>
      <c r="F42" s="306">
        <f>-761548.34+E42</f>
        <v>-448616.30999999994</v>
      </c>
      <c r="G42" s="8"/>
    </row>
    <row r="43" spans="2:7" ht="12.75" customHeight="1" x14ac:dyDescent="0.2">
      <c r="B43" s="312" t="s">
        <v>217</v>
      </c>
      <c r="C43" s="67"/>
      <c r="D43" s="131"/>
      <c r="E43" s="336">
        <v>21497.63</v>
      </c>
      <c r="F43" s="306">
        <f>85986.52+E43</f>
        <v>107484.15000000001</v>
      </c>
      <c r="G43" s="8"/>
    </row>
    <row r="44" spans="2:7" ht="15" thickBot="1" x14ac:dyDescent="0.25">
      <c r="B44" s="307"/>
      <c r="C44" s="132"/>
      <c r="D44" s="133"/>
      <c r="E44" s="337"/>
      <c r="F44" s="313"/>
      <c r="G44" s="8"/>
    </row>
    <row r="45" spans="2:7" ht="15.75" customHeight="1" thickBot="1" x14ac:dyDescent="0.25">
      <c r="B45" s="314" t="s">
        <v>218</v>
      </c>
      <c r="C45" s="134"/>
      <c r="D45" s="135" t="e">
        <f>+#REF!</f>
        <v>#REF!</v>
      </c>
      <c r="E45" s="152">
        <f>SUM(E38:E44)</f>
        <v>-101301283.14000002</v>
      </c>
      <c r="F45" s="308">
        <f>SUM(F38:F44)</f>
        <v>-102338380.63999999</v>
      </c>
      <c r="G45" s="8"/>
    </row>
    <row r="46" spans="2:7" ht="15.75" hidden="1" customHeight="1" x14ac:dyDescent="0.25">
      <c r="B46" s="331"/>
      <c r="C46" s="128"/>
      <c r="D46" s="129"/>
      <c r="E46" s="332"/>
      <c r="F46" s="300"/>
      <c r="G46" s="8"/>
    </row>
    <row r="47" spans="2:7" ht="15" hidden="1" thickBot="1" x14ac:dyDescent="0.25">
      <c r="B47" s="310"/>
      <c r="C47" s="86"/>
      <c r="D47" s="130"/>
      <c r="E47" s="130"/>
      <c r="F47" s="302"/>
      <c r="G47" s="8"/>
    </row>
    <row r="48" spans="2:7" ht="15" hidden="1" thickBot="1" x14ac:dyDescent="0.25">
      <c r="B48" s="360" t="s">
        <v>8</v>
      </c>
      <c r="C48" s="86"/>
      <c r="D48" s="130"/>
      <c r="E48" s="130"/>
      <c r="F48" s="302"/>
      <c r="G48" s="8"/>
    </row>
    <row r="49" spans="2:7" ht="15" hidden="1" thickBot="1" x14ac:dyDescent="0.25">
      <c r="B49" s="310"/>
      <c r="C49" s="86"/>
      <c r="D49" s="130"/>
      <c r="E49" s="130"/>
      <c r="F49" s="302"/>
      <c r="G49" s="8"/>
    </row>
    <row r="50" spans="2:7" ht="12.75" hidden="1" customHeight="1" x14ac:dyDescent="0.25">
      <c r="B50" s="281" t="s">
        <v>95</v>
      </c>
      <c r="C50" s="86"/>
      <c r="D50" s="130"/>
      <c r="E50" s="60">
        <v>0</v>
      </c>
      <c r="F50" s="311">
        <v>0</v>
      </c>
      <c r="G50" s="8"/>
    </row>
    <row r="51" spans="2:7" ht="12.75" hidden="1" customHeight="1" x14ac:dyDescent="0.25">
      <c r="B51" s="281" t="s">
        <v>41</v>
      </c>
      <c r="C51" s="86"/>
      <c r="D51" s="130"/>
      <c r="E51" s="358">
        <v>0</v>
      </c>
      <c r="F51" s="311">
        <v>0</v>
      </c>
      <c r="G51" s="8"/>
    </row>
    <row r="52" spans="2:7" ht="12.75" hidden="1" customHeight="1" x14ac:dyDescent="0.25">
      <c r="B52" s="281" t="s">
        <v>104</v>
      </c>
      <c r="C52" s="86"/>
      <c r="D52" s="130"/>
      <c r="E52" s="83">
        <v>0</v>
      </c>
      <c r="F52" s="311">
        <v>0</v>
      </c>
      <c r="G52" s="8"/>
    </row>
    <row r="53" spans="2:7" ht="15" hidden="1" thickBot="1" x14ac:dyDescent="0.25">
      <c r="B53" s="281" t="s">
        <v>131</v>
      </c>
      <c r="C53" s="86"/>
      <c r="D53" s="130"/>
      <c r="E53" s="83">
        <v>0</v>
      </c>
      <c r="F53" s="311">
        <v>0</v>
      </c>
      <c r="G53" s="8"/>
    </row>
    <row r="54" spans="2:7" ht="15" hidden="1" thickBot="1" x14ac:dyDescent="0.25">
      <c r="B54" s="281" t="s">
        <v>124</v>
      </c>
      <c r="C54" s="86"/>
      <c r="D54" s="130"/>
      <c r="E54" s="83">
        <v>0</v>
      </c>
      <c r="F54" s="311">
        <v>0</v>
      </c>
      <c r="G54" s="8"/>
    </row>
    <row r="55" spans="2:7" ht="15" hidden="1" thickBot="1" x14ac:dyDescent="0.25">
      <c r="B55" s="281" t="s">
        <v>98</v>
      </c>
      <c r="C55" s="86"/>
      <c r="D55" s="130"/>
      <c r="E55" s="83">
        <v>0</v>
      </c>
      <c r="F55" s="311">
        <f>+E55</f>
        <v>0</v>
      </c>
      <c r="G55" s="8"/>
    </row>
    <row r="56" spans="2:7" ht="15" hidden="1" thickBot="1" x14ac:dyDescent="0.25">
      <c r="B56" s="307"/>
      <c r="C56" s="132"/>
      <c r="D56" s="133"/>
      <c r="E56" s="133"/>
      <c r="F56" s="313"/>
      <c r="G56" s="8"/>
    </row>
    <row r="57" spans="2:7" ht="15.75" hidden="1" customHeight="1" thickBot="1" x14ac:dyDescent="0.25">
      <c r="B57" s="359" t="s">
        <v>9</v>
      </c>
      <c r="C57" s="136"/>
      <c r="D57" s="137" t="e">
        <f>+#REF!</f>
        <v>#REF!</v>
      </c>
      <c r="E57" s="152">
        <f>SUM(E50:E56)</f>
        <v>0</v>
      </c>
      <c r="F57" s="308">
        <f>SUM(F50:F56)</f>
        <v>0</v>
      </c>
      <c r="G57" s="8"/>
    </row>
    <row r="58" spans="2:7" x14ac:dyDescent="0.2">
      <c r="B58" s="309"/>
      <c r="C58" s="128"/>
      <c r="D58" s="129"/>
      <c r="E58" s="129"/>
      <c r="F58" s="300"/>
      <c r="G58" s="8"/>
    </row>
    <row r="59" spans="2:7" x14ac:dyDescent="0.2">
      <c r="B59" s="310"/>
      <c r="C59" s="86"/>
      <c r="D59" s="130"/>
      <c r="E59" s="130"/>
      <c r="F59" s="302"/>
      <c r="G59" s="8"/>
    </row>
    <row r="60" spans="2:7" x14ac:dyDescent="0.2">
      <c r="B60" s="312" t="s">
        <v>27</v>
      </c>
      <c r="C60" s="67"/>
      <c r="D60" s="131"/>
      <c r="E60" s="126">
        <v>-61516654.450000003</v>
      </c>
      <c r="F60" s="315">
        <f>52982236.19+E60</f>
        <v>-8534418.2600000054</v>
      </c>
    </row>
    <row r="61" spans="2:7" x14ac:dyDescent="0.2">
      <c r="B61" s="312" t="s">
        <v>96</v>
      </c>
      <c r="C61" s="67"/>
      <c r="D61" s="131"/>
      <c r="E61" s="60">
        <v>326855404.01999998</v>
      </c>
      <c r="F61" s="311">
        <f>270304274+3568893.83</f>
        <v>273873167.82999998</v>
      </c>
    </row>
    <row r="62" spans="2:7" ht="15" thickBot="1" x14ac:dyDescent="0.25">
      <c r="B62" s="307"/>
      <c r="C62" s="132"/>
      <c r="D62" s="133"/>
      <c r="E62" s="133" t="s">
        <v>72</v>
      </c>
      <c r="F62" s="374"/>
    </row>
    <row r="63" spans="2:7" ht="18" customHeight="1" thickBot="1" x14ac:dyDescent="0.25">
      <c r="B63" s="324" t="s">
        <v>198</v>
      </c>
      <c r="C63" s="316"/>
      <c r="D63" s="317" t="e">
        <f>+#REF!+#REF!</f>
        <v>#REF!</v>
      </c>
      <c r="E63" s="318">
        <f>SUM(E60:E62)</f>
        <v>265338749.56999999</v>
      </c>
      <c r="F63" s="319">
        <f>SUM(F60:F62)</f>
        <v>265338749.56999999</v>
      </c>
    </row>
    <row r="64" spans="2:7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53" t="s">
        <v>268</v>
      </c>
      <c r="C68" s="66"/>
      <c r="D68" s="143"/>
      <c r="E68" s="397" t="s">
        <v>211</v>
      </c>
      <c r="F68" s="397"/>
      <c r="G68" s="19"/>
    </row>
    <row r="69" spans="2:7" x14ac:dyDescent="0.2">
      <c r="B69" s="146" t="s">
        <v>269</v>
      </c>
      <c r="C69" s="66"/>
      <c r="D69" s="143"/>
      <c r="E69" s="398" t="s">
        <v>6</v>
      </c>
      <c r="F69" s="398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54" t="s">
        <v>267</v>
      </c>
      <c r="C72" s="66"/>
      <c r="D72" s="143"/>
      <c r="E72" s="143"/>
      <c r="F72" s="145"/>
    </row>
    <row r="73" spans="2:7" x14ac:dyDescent="0.2">
      <c r="B73" s="396" t="s">
        <v>213</v>
      </c>
      <c r="C73" s="396"/>
      <c r="D73" s="396"/>
      <c r="E73" s="396"/>
      <c r="F73" s="396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2021-06-07T15:18:41Z</cp:lastPrinted>
  <dcterms:created xsi:type="dcterms:W3CDTF">2005-02-18T21:21:25Z</dcterms:created>
  <dcterms:modified xsi:type="dcterms:W3CDTF">2021-06-08T16:48:43Z</dcterms:modified>
</cp:coreProperties>
</file>