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602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F'!$B$3:$F$73</definedName>
    <definedName name="_xlnm.Print_Area" localSheetId="2">'NOTAS   '!$B$2:$J$162</definedName>
    <definedName name="_xlnm.Print_Area" localSheetId="0">'NOTAS   1'!$B$2:$J$84</definedName>
    <definedName name="_xlnm.Print_Area" localSheetId="3">RESULTADOS!$B$3:$G$62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27" i="11" l="1"/>
  <c r="E44" i="31" l="1"/>
  <c r="H75" i="23"/>
  <c r="H80" i="23"/>
  <c r="H79" i="23"/>
  <c r="F37" i="31" l="1"/>
  <c r="F42" i="31"/>
  <c r="F41" i="31"/>
  <c r="F40" i="31"/>
  <c r="F39" i="31"/>
  <c r="F38" i="31"/>
  <c r="F59" i="31"/>
  <c r="F31" i="31"/>
  <c r="F30" i="31"/>
  <c r="F28" i="31"/>
  <c r="F27" i="31"/>
  <c r="F26" i="31"/>
  <c r="F25" i="31"/>
  <c r="F24" i="31"/>
  <c r="F23" i="31"/>
  <c r="F21" i="31"/>
  <c r="F20" i="31"/>
  <c r="F31" i="11"/>
  <c r="F30" i="11"/>
  <c r="F29" i="11"/>
  <c r="F28" i="11"/>
  <c r="F22" i="11"/>
  <c r="F20" i="11"/>
  <c r="F19" i="11"/>
  <c r="F18" i="11"/>
  <c r="G79" i="23"/>
  <c r="F44" i="31" l="1"/>
  <c r="H36" i="23"/>
  <c r="F32" i="11" l="1"/>
  <c r="G78" i="23"/>
  <c r="F60" i="31" l="1"/>
  <c r="G74" i="23" l="1"/>
  <c r="H28" i="23" l="1"/>
  <c r="E62" i="31" l="1"/>
  <c r="H38" i="10"/>
  <c r="G73" i="23" l="1"/>
  <c r="F52" i="10" l="1"/>
  <c r="G80" i="23" l="1"/>
  <c r="F54" i="31" l="1"/>
  <c r="B8" i="11" l="1"/>
  <c r="C8" i="23" s="1"/>
  <c r="I80" i="23" l="1"/>
  <c r="I79" i="23"/>
  <c r="I75" i="23"/>
  <c r="I74" i="23"/>
  <c r="I73" i="23"/>
  <c r="I68" i="23"/>
  <c r="D62" i="31" l="1"/>
  <c r="F62" i="31"/>
  <c r="F56" i="31"/>
  <c r="E56" i="31"/>
  <c r="D56" i="31"/>
  <c r="D44" i="31"/>
  <c r="D33" i="31"/>
  <c r="F16" i="31"/>
  <c r="E16" i="31"/>
  <c r="F36" i="11"/>
  <c r="D36" i="11"/>
  <c r="D32" i="11"/>
  <c r="F23" i="11"/>
  <c r="F40" i="11" s="1"/>
  <c r="D23" i="11"/>
  <c r="F16" i="11"/>
  <c r="F15" i="11"/>
  <c r="I150" i="23"/>
  <c r="H146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I78" i="23"/>
  <c r="H76" i="23"/>
  <c r="H81" i="23" s="1"/>
  <c r="F27" i="10" s="1"/>
  <c r="I72" i="23"/>
  <c r="G72" i="23"/>
  <c r="G81" i="23" s="1"/>
  <c r="I70" i="23"/>
  <c r="I67" i="23"/>
  <c r="H57" i="23"/>
  <c r="F19" i="10" s="1"/>
  <c r="H50" i="23"/>
  <c r="H42" i="23"/>
  <c r="H22" i="23"/>
  <c r="C9" i="23"/>
  <c r="H52" i="10"/>
  <c r="J47" i="10"/>
  <c r="J54" i="10" s="1"/>
  <c r="H44" i="10"/>
  <c r="F41" i="10"/>
  <c r="F44" i="10" s="1"/>
  <c r="J30" i="10"/>
  <c r="H29" i="10"/>
  <c r="H23" i="10"/>
  <c r="J22" i="10"/>
  <c r="J31" i="10" s="1"/>
  <c r="L57" i="166"/>
  <c r="L49" i="166"/>
  <c r="L48" i="166"/>
  <c r="L47" i="166"/>
  <c r="L44" i="166"/>
  <c r="F14" i="10" l="1"/>
  <c r="H30" i="23"/>
  <c r="I81" i="23"/>
  <c r="F26" i="10"/>
  <c r="F29" i="10" s="1"/>
  <c r="H44" i="23"/>
  <c r="F38" i="10"/>
  <c r="F46" i="10" s="1"/>
  <c r="H31" i="10"/>
  <c r="F38" i="11"/>
  <c r="D38" i="11"/>
  <c r="D40" i="11" s="1"/>
  <c r="H46" i="10"/>
  <c r="F15" i="10" l="1"/>
  <c r="F23" i="10" s="1"/>
  <c r="F31" i="10" s="1"/>
  <c r="H54" i="10"/>
  <c r="F54" i="10"/>
  <c r="F18" i="31"/>
  <c r="F33" i="31" s="1"/>
  <c r="H75" i="10" l="1"/>
  <c r="E18" i="31"/>
  <c r="E33" i="31" l="1"/>
  <c r="F75" i="10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<sst xmlns="http://schemas.openxmlformats.org/spreadsheetml/2006/main" count="299" uniqueCount="281">
  <si>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</si>
  <si>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</si>
  <si>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</si>
  <si>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</si>
  <si>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</si>
  <si>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</si>
  <si>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</si>
  <si>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</si>
  <si>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</si>
  <si>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</si>
  <si>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</si>
  <si>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</si>
  <si>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</si>
  <si>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</si>
  <si>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</si>
  <si>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</si>
  <si>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</si>
  <si>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</si>
  <si>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</si>
  <si>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</si>
  <si>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</si>
  <si>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</si>
  <si>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</si>
  <si>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</si>
  <si>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</si>
  <si>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</si>
  <si>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</si>
  <si>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</si>
  <si>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</si>
  <si>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</si>
  <si>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</si>
  <si>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</si>
  <si>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</si>
  <si>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</si>
  <si>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</si>
  <si>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</si>
  <si>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</si>
  <si>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</si>
  <si>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</si>
  <si>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</si>
  <si>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</si>
  <si>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</si>
  <si>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</si>
  <si>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</si>
  <si>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</si>
  <si>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</si>
  <si>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</si>
  <si>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</si>
  <si>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</si>
  <si>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</si>
  <si>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</si>
  <si>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</si>
  <si>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</si>
  <si>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</si>
  <si>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</si>
  <si>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</si>
  <si>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</si>
  <si>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</si>
  <si>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</si>
  <si>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</si>
  <si>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</si>
  <si>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</si>
  <si>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</si>
  <si>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</si>
  <si>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</si>
  <si>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</si>
  <si>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</si>
  <si>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</si>
  <si>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</si>
  <si>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</si>
  <si>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</si>
  <si>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</si>
  <si>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</si>
  <si>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</si>
  <si>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</si>
  <si>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</si>
  <si>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</si>
  <si>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</si>
  <si>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</si>
  <si>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</si>
  <si>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</si>
  <si>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</si>
  <si>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</si>
  <si>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</si>
  <si>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</si>
  <si>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</si>
  <si>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</si>
  <si>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</si>
  <si>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</si>
  <si>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</si>
  <si>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</si>
  <si>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</si>
  <si>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</si>
  <si>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</si>
  <si>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</si>
  <si>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</si>
  <si>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</si>
  <si>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</si>
  <si>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</si>
  <si>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</si>
  <si>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</si>
  <si>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</si>
  <si>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</si>
  <si>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</si>
  <si>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</si>
  <si>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</si>
  <si>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</si>
  <si>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</si>
  <si>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</si>
  <si>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</si>
  <si>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</si>
  <si>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</si>
  <si>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</si>
  <si>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</si>
  <si>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</si>
  <si>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</si>
  <si>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</si>
  <si>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</si>
  <si>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</si>
  <si>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</si>
  <si>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</si>
  <si>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</si>
  <si>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</si>
  <si>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</si>
  <si>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</si>
  <si>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</si>
  <si>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</si>
  <si>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</si>
  <si>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</si>
  <si>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</si>
  <si>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</si>
  <si>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</si>
  <si>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</si>
  <si>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</si>
  <si>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</si>
  <si>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</si>
  <si>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</si>
  <si>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</si>
  <si>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</si>
  <si>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</si>
  <si>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</si>
  <si>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</si>
  <si>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</si>
  <si>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</si>
  <si>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</si>
  <si>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</si>
  <si>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</si>
  <si>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</si>
  <si>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</si>
  <si>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</si>
  <si>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</si>
  <si>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</si>
  <si>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</si>
  <si>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</si>
  <si>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</si>
  <si>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</si>
  <si>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</si>
  <si>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</si>
  <si>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</si>
  <si>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</si>
  <si>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</si>
  <si>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</si>
  <si>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</si>
  <si>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</si>
  <si>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</si>
  <si>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</si>
  <si>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</si>
  <si>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</si>
  <si>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</si>
  <si>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</si>
  <si>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</si>
  <si>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</si>
  <si>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</si>
  <si>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</si>
  <si>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</si>
  <si>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</si>
  <si>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</si>
  <si>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</si>
  <si>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</si>
  <si>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</si>
  <si>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</si>
  <si>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</si>
  <si>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</si>
  <si>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</si>
  <si>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</si>
  <si>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</si>
  <si>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</si>
  <si>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</si>
  <si>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</si>
  <si>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</si>
  <si>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</si>
  <si>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</si>
  <si>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</si>
  <si>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</si>
  <si>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</si>
  <si>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</si>
  <si>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</si>
  <si>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</si>
  <si>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</si>
  <si>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</si>
  <si>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</si>
  <si>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</si>
  <si>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</si>
  <si>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</si>
  <si>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</si>
  <si>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</si>
  <si>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</si>
  <si>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</si>
  <si>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</si>
  <si>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</si>
  <si>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</si>
  <si>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</si>
  <si>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</si>
  <si>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</si>
  <si>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</si>
  <si>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</si>
  <si>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</si>
  <si>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</si>
  <si>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</si>
  <si>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</si>
  <si>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</si>
  <si>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</si>
  <si>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</si>
  <si>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</si>
  <si>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</si>
  <si>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</si>
  <si>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</si>
  <si>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</si>
  <si>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</si>
  <si>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</si>
  <si>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</si>
  <si>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</si>
  <si>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</si>
  <si>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</si>
  <si>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</si>
  <si>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</si>
  <si>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</si>
  <si>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</si>
  <si>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</si>
  <si>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</si>
  <si>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</si>
  <si>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</si>
  <si>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</si>
  <si>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</si>
  <si>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</si>
  <si>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</si>
  <si>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</si>
  <si>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</si>
  <si>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</si>
  <si>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</si>
  <si>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</si>
  <si>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</si>
  <si>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</si>
  <si>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</si>
  <si>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</si>
  <si>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</si>
  <si>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</si>
  <si>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</si>
  <si>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</si>
  <si>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</si>
  <si>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</si>
  <si>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</si>
  <si>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</si>
  <si>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</si>
  <si>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</si>
  <si>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</si>
  <si>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</si>
  <si>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</si>
  <si>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</si>
  <si>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</si>
  <si>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</si>
  <si>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Dr. Pedro Luis Castellanos</t>
  </si>
  <si>
    <t>Al 31 DE MARZO 2021</t>
  </si>
  <si>
    <t>AL 31 MARZO 2021</t>
  </si>
  <si>
    <t>DEL 01 DE ENERO AL 31 DE MARZO 2021</t>
  </si>
  <si>
    <t>Marzo</t>
  </si>
  <si>
    <t>Estos recursos están formados por dos partidas, las cuales una de ella representada por un valor ascendente por RD$221,588,402.00</t>
  </si>
  <si>
    <t>Las cuentas por pagar proveedores al 31 de marzo del 2021 de la SISALRIL.</t>
  </si>
  <si>
    <t>La cuenta Obligaciones por pagar al 31 de marzo 2021 de la SISALRIL, se desglosan de la siguiente manera:</t>
  </si>
  <si>
    <t>La cuenta Retenciones y Contribuciones por pagar al 31 de marzo del 2021, se desglosan de la siguiente manera:</t>
  </si>
  <si>
    <t>Al 31 de marzo 2021, ésta cuenta se desglosa como sigue: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</si>
</sst>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4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</cellStyleXfs>
  <cellXfs count="401">
    <xf numFmtId="0" fontId="0" fillId="0" borderId="0" xfId="0"/>
    <xf numFmtId="0" fontId="3" fillId="0" borderId="0" xfId="0" applyFont="1"/>
    <xf numFmtId="165" fontId="3" fillId="0" borderId="0" xfId="35" applyFont="1"/>
    <xf numFmtId="165" fontId="0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5" fontId="22" fillId="0" borderId="0" xfId="35" applyFont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165" fontId="46" fillId="25" borderId="0" xfId="35" applyFont="1" applyFill="1" applyBorder="1"/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104775</xdr:rowOff>
    </xdr:from>
    <xdr:to>
      <xdr:col>2</xdr:col>
      <xdr:colOff>1962150</xdr:colOff>
      <xdr:row>6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52</xdr:row>
      <xdr:rowOff>173767</xdr:rowOff>
    </xdr:from>
    <xdr:to>
      <xdr:col>2</xdr:col>
      <xdr:colOff>2374814</xdr:colOff>
      <xdr:row>52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52</xdr:row>
      <xdr:rowOff>167332</xdr:rowOff>
    </xdr:from>
    <xdr:to>
      <xdr:col>5</xdr:col>
      <xdr:colOff>868834</xdr:colOff>
      <xdr:row>53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57</xdr:row>
      <xdr:rowOff>173767</xdr:rowOff>
    </xdr:from>
    <xdr:to>
      <xdr:col>3</xdr:col>
      <xdr:colOff>514865</xdr:colOff>
      <xdr:row>58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3</xdr:col>
      <xdr:colOff>285750</xdr:colOff>
      <xdr:row>5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2</xdr:row>
      <xdr:rowOff>0</xdr:rowOff>
    </xdr:from>
    <xdr:to>
      <xdr:col>3</xdr:col>
      <xdr:colOff>285750</xdr:colOff>
      <xdr:row>5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</xdr:row>
      <xdr:rowOff>161925</xdr:rowOff>
    </xdr:from>
    <xdr:to>
      <xdr:col>1</xdr:col>
      <xdr:colOff>2143125</xdr:colOff>
      <xdr:row>7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69</xdr:row>
      <xdr:rowOff>170260</xdr:rowOff>
    </xdr:from>
    <xdr:to>
      <xdr:col>1</xdr:col>
      <xdr:colOff>4423171</xdr:colOff>
      <xdr:row>69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>
      <selection activeCell="D34" sqref="D34"/>
    </sheetView>
  </sheetViews>
  <sheetFormatPr baseColWidth="10" defaultRowHeight="14.25" x14ac:dyDescent="0.2"/>
  <cols>
    <col min="1" max="1" width="3.85546875" style="14" customWidth="1"/>
    <col min="2" max="2" width="3.42578125" style="14" customWidth="1"/>
    <col min="3" max="3" width="7.285156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03125" style="14" customWidth="1"/>
    <col min="8" max="8" width="26.140625" style="14" customWidth="1"/>
    <col min="9" max="9" width="21.140625" style="14" customWidth="1"/>
    <col min="10" max="10" width="3.7109375" style="14" customWidth="1"/>
    <col min="11" max="11" width="4" style="12" customWidth="1"/>
    <col min="12" max="12" width="20.28515625" style="14" bestFit="1" customWidth="1"/>
    <col min="13" max="13" width="18.28515625" style="14" customWidth="1"/>
    <col min="14" max="14" width="20.28515625" style="14" bestFit="1" customWidth="1"/>
    <col min="15" max="16" width="17.5703125" style="14" bestFit="1" customWidth="1"/>
    <col min="17" max="16384" width="11.42578125" style="14"/>
  </cols>
  <sheetData>
    <row r="1" spans="2:21" ht="15" thickBot="1" x14ac:dyDescent="0.25"/>
    <row r="2" spans="2:21" ht="15" thickTop="1" x14ac:dyDescent="0.2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21" x14ac:dyDescent="0.2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21" x14ac:dyDescent="0.2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21" x14ac:dyDescent="0.2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21" x14ac:dyDescent="0.2">
      <c r="B6" s="29"/>
      <c r="C6" s="384"/>
      <c r="D6" s="384"/>
      <c r="E6" s="384"/>
      <c r="F6" s="384"/>
      <c r="G6" s="384"/>
      <c r="H6" s="384"/>
      <c r="I6" s="384"/>
      <c r="J6" s="385"/>
      <c r="K6" s="28"/>
    </row>
    <row r="7" spans="2:21" x14ac:dyDescent="0.2">
      <c r="B7" s="29"/>
      <c r="C7" s="384" t="s">
        <v>13</v>
      </c>
      <c r="D7" s="384"/>
      <c r="E7" s="384"/>
      <c r="F7" s="384"/>
      <c r="G7" s="384"/>
      <c r="H7" s="384"/>
      <c r="I7" s="384"/>
      <c r="J7" s="385"/>
      <c r="K7" s="28"/>
    </row>
    <row r="8" spans="2:21" x14ac:dyDescent="0.2">
      <c r="B8" s="29"/>
      <c r="C8" s="384" t="s">
        <v>272</v>
      </c>
      <c r="D8" s="384"/>
      <c r="E8" s="384"/>
      <c r="F8" s="384"/>
      <c r="G8" s="384"/>
      <c r="H8" s="384"/>
      <c r="I8" s="384"/>
      <c r="J8" s="385"/>
      <c r="K8" s="28"/>
    </row>
    <row r="9" spans="2:21" x14ac:dyDescent="0.2">
      <c r="B9" s="29"/>
      <c r="C9" s="384"/>
      <c r="D9" s="384"/>
      <c r="E9" s="384"/>
      <c r="F9" s="384"/>
      <c r="G9" s="384"/>
      <c r="H9" s="384"/>
      <c r="I9" s="384"/>
      <c r="J9" s="385"/>
      <c r="K9" s="28"/>
    </row>
    <row r="10" spans="2:21" ht="15" thickBot="1" x14ac:dyDescent="0.25">
      <c r="B10" s="32"/>
      <c r="C10" s="33"/>
      <c r="D10" s="33"/>
      <c r="E10" s="33"/>
      <c r="F10" s="33"/>
      <c r="G10" s="33"/>
      <c r="H10" s="33"/>
      <c r="I10" s="33"/>
      <c r="J10" s="34"/>
      <c r="K10" s="28"/>
    </row>
    <row r="11" spans="2:21" x14ac:dyDescent="0.2">
      <c r="B11" s="69"/>
      <c r="C11" s="70"/>
      <c r="D11" s="71"/>
      <c r="E11" s="71"/>
      <c r="F11" s="71"/>
      <c r="G11" s="71"/>
      <c r="H11" s="71"/>
      <c r="I11" s="71"/>
      <c r="J11" s="72"/>
      <c r="K11" s="28"/>
    </row>
    <row r="12" spans="2:21" x14ac:dyDescent="0.2">
      <c r="B12" s="73"/>
      <c r="C12" s="79"/>
      <c r="D12" s="77"/>
      <c r="E12" s="77"/>
      <c r="F12" s="77"/>
      <c r="G12" s="77"/>
      <c r="H12" s="77"/>
      <c r="I12" s="77"/>
      <c r="J12" s="78"/>
      <c r="K12" s="28"/>
    </row>
    <row r="13" spans="2:21" ht="15" x14ac:dyDescent="0.2">
      <c r="B13" s="73"/>
      <c r="C13" s="217" t="s">
        <v>116</v>
      </c>
      <c r="D13" s="190" t="s">
        <v>244</v>
      </c>
      <c r="E13" s="190"/>
      <c r="F13" s="190"/>
      <c r="G13" s="191"/>
      <c r="H13" s="191"/>
      <c r="I13" s="191"/>
      <c r="J13" s="78"/>
      <c r="K13" s="28"/>
      <c r="M13" s="386"/>
      <c r="N13" s="386"/>
      <c r="O13" s="386"/>
      <c r="P13" s="386"/>
      <c r="Q13" s="386"/>
      <c r="R13" s="386"/>
      <c r="S13" s="386"/>
      <c r="T13" s="386"/>
      <c r="U13" s="386"/>
    </row>
    <row r="14" spans="2:21" ht="15" x14ac:dyDescent="0.2">
      <c r="B14" s="73"/>
      <c r="C14" s="192"/>
      <c r="D14" s="191"/>
      <c r="E14" s="191"/>
      <c r="F14" s="191"/>
      <c r="G14" s="191"/>
      <c r="H14" s="191"/>
      <c r="I14" s="191"/>
      <c r="J14" s="78"/>
      <c r="K14" s="28"/>
    </row>
    <row r="15" spans="2:21" ht="15" x14ac:dyDescent="0.2">
      <c r="B15" s="73"/>
      <c r="C15" s="192"/>
      <c r="D15" s="191" t="s">
        <v>232</v>
      </c>
      <c r="E15" s="191"/>
      <c r="F15" s="191"/>
      <c r="G15" s="191"/>
      <c r="H15" s="191"/>
      <c r="I15" s="191"/>
      <c r="J15" s="78"/>
      <c r="K15" s="28"/>
    </row>
    <row r="16" spans="2:21" ht="15" x14ac:dyDescent="0.2">
      <c r="B16" s="73"/>
      <c r="C16" s="192"/>
      <c r="D16" s="191" t="s">
        <v>231</v>
      </c>
      <c r="E16" s="191"/>
      <c r="F16" s="191"/>
      <c r="G16" s="191"/>
      <c r="H16" s="191"/>
      <c r="I16" s="191"/>
      <c r="J16" s="78"/>
      <c r="K16" s="28"/>
    </row>
    <row r="17" spans="2:12" ht="15" x14ac:dyDescent="0.2">
      <c r="B17" s="73"/>
      <c r="C17" s="192"/>
      <c r="D17" s="191" t="s">
        <v>233</v>
      </c>
      <c r="E17" s="191"/>
      <c r="F17" s="191"/>
      <c r="G17" s="191"/>
      <c r="H17" s="191"/>
      <c r="I17" s="191"/>
      <c r="J17" s="78"/>
      <c r="K17" s="28"/>
    </row>
    <row r="18" spans="2:12" ht="15" x14ac:dyDescent="0.2">
      <c r="B18" s="73"/>
      <c r="C18" s="192"/>
      <c r="D18" s="191" t="s">
        <v>234</v>
      </c>
      <c r="E18" s="191"/>
      <c r="F18" s="191"/>
      <c r="G18" s="191"/>
      <c r="H18" s="188"/>
      <c r="I18" s="191"/>
      <c r="J18" s="78"/>
      <c r="K18" s="28"/>
    </row>
    <row r="19" spans="2:12" ht="15" x14ac:dyDescent="0.2">
      <c r="B19" s="73"/>
      <c r="C19" s="192"/>
      <c r="D19" s="191"/>
      <c r="E19" s="191"/>
      <c r="F19" s="191"/>
      <c r="G19" s="191"/>
      <c r="H19" s="188"/>
      <c r="I19" s="191"/>
      <c r="J19" s="78"/>
      <c r="K19" s="28"/>
    </row>
    <row r="20" spans="2:12" ht="15" x14ac:dyDescent="0.2">
      <c r="B20" s="73"/>
      <c r="C20" s="193"/>
      <c r="D20" s="191" t="s">
        <v>237</v>
      </c>
      <c r="E20" s="194"/>
      <c r="F20" s="191"/>
      <c r="G20" s="191"/>
      <c r="H20" s="195"/>
      <c r="I20" s="191"/>
      <c r="J20" s="78"/>
      <c r="K20" s="28"/>
      <c r="L20" s="36"/>
    </row>
    <row r="21" spans="2:12" ht="15" x14ac:dyDescent="0.2">
      <c r="B21" s="73"/>
      <c r="C21" s="193"/>
      <c r="D21" s="191" t="s">
        <v>238</v>
      </c>
      <c r="E21" s="194"/>
      <c r="F21" s="191"/>
      <c r="G21" s="195"/>
      <c r="H21" s="195"/>
      <c r="I21" s="191"/>
      <c r="J21" s="78"/>
      <c r="K21" s="28"/>
      <c r="L21" s="36"/>
    </row>
    <row r="22" spans="2:12" ht="15" x14ac:dyDescent="0.2">
      <c r="B22" s="73"/>
      <c r="C22" s="193"/>
      <c r="D22" s="191" t="s">
        <v>239</v>
      </c>
      <c r="E22" s="191"/>
      <c r="F22" s="191"/>
      <c r="G22" s="195"/>
      <c r="H22" s="195"/>
      <c r="I22" s="191"/>
      <c r="J22" s="78"/>
      <c r="K22" s="28"/>
      <c r="L22" s="9"/>
    </row>
    <row r="23" spans="2:12" ht="15" x14ac:dyDescent="0.2">
      <c r="B23" s="73"/>
      <c r="C23" s="193"/>
      <c r="D23" s="191"/>
      <c r="E23" s="191"/>
      <c r="F23" s="191"/>
      <c r="G23" s="195"/>
      <c r="H23" s="195"/>
      <c r="I23" s="191"/>
      <c r="J23" s="78"/>
      <c r="K23" s="28"/>
      <c r="L23" s="9"/>
    </row>
    <row r="24" spans="2:12" ht="15" x14ac:dyDescent="0.2">
      <c r="B24" s="73"/>
      <c r="C24" s="193"/>
      <c r="D24" s="191"/>
      <c r="E24" s="191"/>
      <c r="F24" s="191"/>
      <c r="G24" s="195"/>
      <c r="H24" s="195"/>
      <c r="I24" s="191"/>
      <c r="J24" s="78"/>
      <c r="K24" s="28"/>
      <c r="L24" s="9"/>
    </row>
    <row r="25" spans="2:12" ht="15" x14ac:dyDescent="0.2">
      <c r="B25" s="73"/>
      <c r="C25" s="217" t="s">
        <v>49</v>
      </c>
      <c r="D25" s="190" t="s">
        <v>225</v>
      </c>
      <c r="E25" s="191"/>
      <c r="F25" s="191"/>
      <c r="G25" s="195"/>
      <c r="H25" s="195"/>
      <c r="I25" s="191"/>
      <c r="J25" s="78"/>
      <c r="K25" s="28"/>
      <c r="L25" s="9"/>
    </row>
    <row r="26" spans="2:12" ht="15" x14ac:dyDescent="0.2">
      <c r="B26" s="73"/>
      <c r="C26" s="193"/>
      <c r="D26" s="191"/>
      <c r="E26" s="191"/>
      <c r="F26" s="191"/>
      <c r="G26" s="195"/>
      <c r="H26" s="195"/>
      <c r="I26" s="191"/>
      <c r="J26" s="78"/>
      <c r="K26" s="28"/>
      <c r="L26" s="9"/>
    </row>
    <row r="27" spans="2:12" ht="15" x14ac:dyDescent="0.2">
      <c r="B27" s="73"/>
      <c r="C27" s="193"/>
      <c r="D27" s="191" t="s">
        <v>245</v>
      </c>
      <c r="E27" s="191"/>
      <c r="F27" s="191"/>
      <c r="G27" s="195"/>
      <c r="H27" s="195"/>
      <c r="I27" s="191"/>
      <c r="J27" s="78"/>
      <c r="K27" s="28"/>
      <c r="L27" s="9"/>
    </row>
    <row r="28" spans="2:12" ht="15" x14ac:dyDescent="0.2">
      <c r="B28" s="73"/>
      <c r="C28" s="193"/>
      <c r="D28" s="191"/>
      <c r="E28" s="191"/>
      <c r="F28" s="191"/>
      <c r="G28" s="195"/>
      <c r="H28" s="195"/>
      <c r="I28" s="191"/>
      <c r="J28" s="78"/>
      <c r="K28" s="28"/>
      <c r="L28" s="9"/>
    </row>
    <row r="29" spans="2:12" ht="15" x14ac:dyDescent="0.2">
      <c r="B29" s="73"/>
      <c r="C29" s="217" t="s">
        <v>50</v>
      </c>
      <c r="D29" s="190" t="s">
        <v>14</v>
      </c>
      <c r="E29" s="191"/>
      <c r="F29" s="191"/>
      <c r="G29" s="195"/>
      <c r="H29" s="195"/>
      <c r="I29" s="191"/>
      <c r="J29" s="78"/>
      <c r="K29" s="28"/>
      <c r="L29" s="9"/>
    </row>
    <row r="30" spans="2:12" ht="15" x14ac:dyDescent="0.2">
      <c r="B30" s="73"/>
      <c r="C30" s="217"/>
      <c r="D30" s="189"/>
      <c r="E30" s="191"/>
      <c r="F30" s="191"/>
      <c r="G30" s="195"/>
      <c r="H30" s="195"/>
      <c r="I30" s="191"/>
      <c r="J30" s="78"/>
      <c r="K30" s="28"/>
      <c r="L30" s="9"/>
    </row>
    <row r="31" spans="2:12" ht="15" x14ac:dyDescent="0.2">
      <c r="B31" s="73"/>
      <c r="C31" s="217"/>
      <c r="D31" s="191" t="s">
        <v>260</v>
      </c>
      <c r="E31" s="191"/>
      <c r="F31" s="191"/>
      <c r="G31" s="195"/>
      <c r="H31" s="195"/>
      <c r="I31" s="191"/>
      <c r="J31" s="78"/>
      <c r="K31" s="28"/>
      <c r="L31" s="9"/>
    </row>
    <row r="32" spans="2:12" ht="15" x14ac:dyDescent="0.2">
      <c r="B32" s="73"/>
      <c r="C32" s="193"/>
      <c r="D32" s="191"/>
      <c r="E32" s="191"/>
      <c r="F32" s="191"/>
      <c r="G32" s="195"/>
      <c r="H32" s="195"/>
      <c r="I32" s="191"/>
      <c r="J32" s="78"/>
      <c r="K32" s="28"/>
      <c r="L32" s="9"/>
    </row>
    <row r="33" spans="2:14" ht="15" x14ac:dyDescent="0.2">
      <c r="B33" s="73"/>
      <c r="C33" s="217" t="s">
        <v>15</v>
      </c>
      <c r="D33" s="190" t="s">
        <v>48</v>
      </c>
      <c r="E33" s="196"/>
      <c r="F33" s="191"/>
      <c r="G33" s="195"/>
      <c r="H33" s="195"/>
      <c r="I33" s="191"/>
      <c r="J33" s="78"/>
      <c r="K33" s="28"/>
      <c r="L33" s="9"/>
    </row>
    <row r="34" spans="2:14" ht="15" x14ac:dyDescent="0.2">
      <c r="B34" s="73"/>
      <c r="C34" s="193"/>
      <c r="D34" s="196"/>
      <c r="E34" s="196"/>
      <c r="F34" s="196"/>
      <c r="G34" s="196"/>
      <c r="H34" s="195"/>
      <c r="I34" s="191"/>
      <c r="J34" s="78"/>
      <c r="K34" s="28"/>
      <c r="L34" s="9"/>
    </row>
    <row r="35" spans="2:14" ht="15" x14ac:dyDescent="0.2">
      <c r="B35" s="73"/>
      <c r="C35" s="193"/>
      <c r="D35" s="194"/>
      <c r="E35" s="194"/>
      <c r="F35" s="195"/>
      <c r="G35" s="196"/>
      <c r="H35" s="195"/>
      <c r="I35" s="191"/>
      <c r="J35" s="78"/>
      <c r="K35" s="28"/>
      <c r="L35" s="9"/>
    </row>
    <row r="36" spans="2:14" ht="15" x14ac:dyDescent="0.2">
      <c r="B36" s="73"/>
      <c r="C36" s="217" t="s">
        <v>16</v>
      </c>
      <c r="D36" s="190" t="s">
        <v>51</v>
      </c>
      <c r="E36" s="191"/>
      <c r="F36" s="191"/>
      <c r="G36" s="197"/>
      <c r="H36" s="196"/>
      <c r="I36" s="196"/>
      <c r="J36" s="78"/>
      <c r="K36" s="28"/>
    </row>
    <row r="37" spans="2:14" ht="15" x14ac:dyDescent="0.2">
      <c r="B37" s="73"/>
      <c r="C37" s="193"/>
      <c r="D37" s="191"/>
      <c r="E37" s="191"/>
      <c r="F37" s="196"/>
      <c r="G37" s="195"/>
      <c r="H37" s="196"/>
      <c r="I37" s="196"/>
      <c r="J37" s="78"/>
      <c r="K37" s="28"/>
    </row>
    <row r="38" spans="2:14" ht="15" x14ac:dyDescent="0.2">
      <c r="B38" s="73"/>
      <c r="C38" s="193"/>
      <c r="D38" s="191" t="s">
        <v>246</v>
      </c>
      <c r="E38" s="196"/>
      <c r="F38" s="196"/>
      <c r="G38" s="195"/>
      <c r="H38" s="195"/>
      <c r="I38" s="191"/>
      <c r="J38" s="78"/>
      <c r="K38" s="28"/>
    </row>
    <row r="39" spans="2:14" ht="15" x14ac:dyDescent="0.2">
      <c r="B39" s="73"/>
      <c r="C39" s="193"/>
      <c r="D39" s="191"/>
      <c r="E39" s="191"/>
      <c r="F39" s="196"/>
      <c r="G39" s="195"/>
      <c r="H39" s="195"/>
      <c r="I39" s="191"/>
      <c r="J39" s="78"/>
      <c r="K39" s="28"/>
      <c r="N39" s="155"/>
    </row>
    <row r="40" spans="2:14" ht="15" x14ac:dyDescent="0.2">
      <c r="B40" s="73"/>
      <c r="C40" s="191"/>
      <c r="D40" s="191" t="s">
        <v>52</v>
      </c>
      <c r="E40" s="196"/>
      <c r="F40" s="196"/>
      <c r="G40" s="196"/>
      <c r="H40" s="196"/>
      <c r="I40" s="195"/>
      <c r="J40" s="78"/>
      <c r="K40" s="28"/>
    </row>
    <row r="41" spans="2:14" ht="15" x14ac:dyDescent="0.2">
      <c r="B41" s="73"/>
      <c r="C41" s="193"/>
      <c r="D41" s="191"/>
      <c r="E41" s="191"/>
      <c r="F41" s="191"/>
      <c r="G41" s="195"/>
      <c r="H41" s="195"/>
      <c r="I41" s="195"/>
      <c r="J41" s="78"/>
      <c r="K41" s="28"/>
    </row>
    <row r="42" spans="2:14" ht="15" x14ac:dyDescent="0.2">
      <c r="B42" s="73"/>
      <c r="C42" s="193"/>
      <c r="D42" s="191" t="s">
        <v>226</v>
      </c>
      <c r="E42" s="191"/>
      <c r="F42" s="191"/>
      <c r="G42" s="195"/>
      <c r="H42" s="196"/>
      <c r="I42" s="195"/>
      <c r="J42" s="78"/>
      <c r="K42" s="28"/>
    </row>
    <row r="43" spans="2:14" ht="15" x14ac:dyDescent="0.2">
      <c r="B43" s="73"/>
      <c r="C43" s="193"/>
      <c r="D43" s="191" t="s">
        <v>261</v>
      </c>
      <c r="E43" s="191"/>
      <c r="F43" s="191"/>
      <c r="G43" s="195"/>
      <c r="H43" s="195"/>
      <c r="I43" s="195"/>
      <c r="J43" s="78"/>
      <c r="K43" s="28"/>
    </row>
    <row r="44" spans="2:14" ht="15" x14ac:dyDescent="0.2">
      <c r="B44" s="73"/>
      <c r="C44" s="193"/>
      <c r="D44" s="191"/>
      <c r="E44" s="198"/>
      <c r="F44" s="191"/>
      <c r="G44" s="195"/>
      <c r="H44" s="195"/>
      <c r="I44" s="195"/>
      <c r="J44" s="78"/>
      <c r="K44" s="28"/>
      <c r="L44" s="14">
        <f>+H52+H46</f>
        <v>0</v>
      </c>
    </row>
    <row r="45" spans="2:14" ht="15" x14ac:dyDescent="0.2">
      <c r="B45" s="73"/>
      <c r="C45" s="193"/>
      <c r="D45" s="191" t="s">
        <v>228</v>
      </c>
      <c r="E45" s="196"/>
      <c r="F45" s="191"/>
      <c r="G45" s="195"/>
      <c r="H45" s="195"/>
      <c r="I45" s="195"/>
      <c r="J45" s="78"/>
      <c r="K45" s="28"/>
    </row>
    <row r="46" spans="2:14" ht="15" x14ac:dyDescent="0.2">
      <c r="B46" s="73"/>
      <c r="C46" s="193"/>
      <c r="D46" s="191" t="s">
        <v>247</v>
      </c>
      <c r="E46" s="196"/>
      <c r="F46" s="191"/>
      <c r="G46" s="195"/>
      <c r="H46" s="195"/>
      <c r="I46" s="195"/>
      <c r="J46" s="78"/>
      <c r="K46" s="28"/>
    </row>
    <row r="47" spans="2:14" ht="15" x14ac:dyDescent="0.2">
      <c r="B47" s="73"/>
      <c r="C47" s="193"/>
      <c r="D47" s="198"/>
      <c r="E47" s="196"/>
      <c r="F47" s="191"/>
      <c r="G47" s="195"/>
      <c r="H47" s="195"/>
      <c r="I47" s="195"/>
      <c r="J47" s="78"/>
      <c r="K47" s="28"/>
      <c r="L47" s="14">
        <f>+H54-L44</f>
        <v>0</v>
      </c>
    </row>
    <row r="48" spans="2:14" ht="15" x14ac:dyDescent="0.2">
      <c r="B48" s="73"/>
      <c r="C48" s="193"/>
      <c r="D48" s="196" t="s">
        <v>229</v>
      </c>
      <c r="E48" s="196"/>
      <c r="F48" s="196"/>
      <c r="G48" s="195"/>
      <c r="H48" s="195"/>
      <c r="I48" s="196"/>
      <c r="J48" s="78"/>
      <c r="K48" s="28"/>
      <c r="L48" s="14">
        <f>+L47-H39</f>
        <v>0</v>
      </c>
    </row>
    <row r="49" spans="2:13" ht="15" x14ac:dyDescent="0.2">
      <c r="B49" s="73"/>
      <c r="C49" s="193"/>
      <c r="D49" s="191" t="s">
        <v>230</v>
      </c>
      <c r="E49" s="194"/>
      <c r="F49" s="196"/>
      <c r="G49" s="195"/>
      <c r="H49" s="195"/>
      <c r="I49" s="195"/>
      <c r="J49" s="78"/>
      <c r="K49" s="28"/>
      <c r="L49" s="14">
        <f>+H33+H39</f>
        <v>0</v>
      </c>
    </row>
    <row r="50" spans="2:13" ht="15" x14ac:dyDescent="0.2">
      <c r="B50" s="73"/>
      <c r="C50" s="193"/>
      <c r="D50" s="196" t="s">
        <v>248</v>
      </c>
      <c r="E50" s="196"/>
      <c r="F50" s="196"/>
      <c r="G50" s="195"/>
      <c r="H50" s="195"/>
      <c r="I50" s="195"/>
      <c r="J50" s="78"/>
      <c r="K50" s="28"/>
      <c r="L50" s="8"/>
    </row>
    <row r="51" spans="2:13" ht="15" x14ac:dyDescent="0.2">
      <c r="B51" s="73"/>
      <c r="C51" s="193"/>
      <c r="D51" s="191" t="s">
        <v>53</v>
      </c>
      <c r="E51" s="196"/>
      <c r="F51" s="196"/>
      <c r="G51" s="195"/>
      <c r="H51" s="195"/>
      <c r="I51" s="196"/>
      <c r="J51" s="78"/>
      <c r="K51" s="28"/>
    </row>
    <row r="52" spans="2:13" ht="15" x14ac:dyDescent="0.2">
      <c r="B52" s="73"/>
      <c r="C52" s="193"/>
      <c r="D52" s="196"/>
      <c r="E52" s="196"/>
      <c r="F52" s="196"/>
      <c r="G52" s="195"/>
      <c r="H52" s="195"/>
      <c r="I52" s="196"/>
      <c r="J52" s="78"/>
      <c r="K52" s="28"/>
      <c r="L52" s="37"/>
    </row>
    <row r="53" spans="2:13" ht="15" x14ac:dyDescent="0.2">
      <c r="B53" s="73"/>
      <c r="C53" s="193"/>
      <c r="D53" s="198"/>
      <c r="E53" s="196"/>
      <c r="F53" s="196"/>
      <c r="G53" s="195"/>
      <c r="H53" s="195"/>
      <c r="I53" s="196"/>
      <c r="J53" s="78"/>
      <c r="K53" s="28"/>
    </row>
    <row r="54" spans="2:13" ht="15" x14ac:dyDescent="0.2">
      <c r="B54" s="73"/>
      <c r="C54" s="217" t="s">
        <v>17</v>
      </c>
      <c r="D54" s="190" t="s">
        <v>54</v>
      </c>
      <c r="E54" s="191"/>
      <c r="F54" s="191"/>
      <c r="G54" s="191"/>
      <c r="H54" s="199"/>
      <c r="I54" s="196"/>
      <c r="J54" s="78"/>
      <c r="K54" s="28"/>
    </row>
    <row r="55" spans="2:13" ht="15" x14ac:dyDescent="0.2">
      <c r="B55" s="73"/>
      <c r="C55" s="217"/>
      <c r="D55" s="190"/>
      <c r="E55" s="191"/>
      <c r="F55" s="191"/>
      <c r="G55" s="191"/>
      <c r="H55" s="199"/>
      <c r="I55" s="196"/>
      <c r="J55" s="78"/>
      <c r="K55" s="28"/>
    </row>
    <row r="56" spans="2:13" ht="15" x14ac:dyDescent="0.2">
      <c r="B56" s="73"/>
      <c r="C56" s="200"/>
      <c r="D56" s="191" t="s">
        <v>235</v>
      </c>
      <c r="E56" s="189"/>
      <c r="F56" s="191"/>
      <c r="G56" s="191"/>
      <c r="H56" s="199"/>
      <c r="I56" s="196"/>
      <c r="J56" s="78"/>
      <c r="K56" s="28"/>
      <c r="M56" s="8"/>
    </row>
    <row r="57" spans="2:13" ht="13.5" customHeight="1" x14ac:dyDescent="0.2">
      <c r="B57" s="73"/>
      <c r="C57" s="217"/>
      <c r="D57" s="191" t="s">
        <v>236</v>
      </c>
      <c r="E57" s="189"/>
      <c r="F57" s="191"/>
      <c r="G57" s="195"/>
      <c r="H57" s="201"/>
      <c r="I57" s="196"/>
      <c r="J57" s="78"/>
      <c r="K57" s="28"/>
      <c r="L57" s="14">
        <f>2900464.28-2797400</f>
        <v>103064.2799999998</v>
      </c>
      <c r="M57" s="8"/>
    </row>
    <row r="58" spans="2:13" ht="15" x14ac:dyDescent="0.2">
      <c r="B58" s="73"/>
      <c r="C58" s="217"/>
      <c r="D58" s="191"/>
      <c r="E58" s="191"/>
      <c r="F58" s="191"/>
      <c r="G58" s="195"/>
      <c r="H58" s="195"/>
      <c r="I58" s="196"/>
      <c r="J58" s="78"/>
      <c r="K58" s="28"/>
    </row>
    <row r="59" spans="2:13" ht="15" x14ac:dyDescent="0.2">
      <c r="B59" s="73"/>
      <c r="C59" s="217" t="s">
        <v>18</v>
      </c>
      <c r="D59" s="190" t="s">
        <v>227</v>
      </c>
      <c r="E59" s="191"/>
      <c r="F59" s="191"/>
      <c r="G59" s="195"/>
      <c r="H59" s="199"/>
      <c r="I59" s="195"/>
      <c r="J59" s="78"/>
      <c r="K59" s="28"/>
      <c r="M59" s="8"/>
    </row>
    <row r="60" spans="2:13" ht="15" x14ac:dyDescent="0.2">
      <c r="B60" s="73"/>
      <c r="C60" s="217"/>
      <c r="D60" s="190"/>
      <c r="E60" s="191"/>
      <c r="F60" s="191"/>
      <c r="G60" s="195"/>
      <c r="H60" s="199"/>
      <c r="I60" s="195"/>
      <c r="J60" s="78"/>
      <c r="K60" s="28"/>
      <c r="M60" s="8"/>
    </row>
    <row r="61" spans="2:13" ht="14.25" customHeight="1" x14ac:dyDescent="0.2">
      <c r="B61" s="73"/>
      <c r="C61" s="217"/>
      <c r="D61" s="191" t="s">
        <v>257</v>
      </c>
      <c r="E61" s="189"/>
      <c r="F61" s="191"/>
      <c r="G61" s="191"/>
      <c r="H61" s="199"/>
      <c r="I61" s="191"/>
      <c r="J61" s="78"/>
      <c r="K61" s="28"/>
    </row>
    <row r="62" spans="2:13" ht="13.5" customHeight="1" x14ac:dyDescent="0.2">
      <c r="B62" s="73"/>
      <c r="C62" s="192"/>
      <c r="D62" s="191" t="s">
        <v>258</v>
      </c>
      <c r="E62" s="191"/>
      <c r="F62" s="191"/>
      <c r="G62" s="191"/>
      <c r="H62" s="199"/>
      <c r="I62" s="195"/>
      <c r="J62" s="78"/>
      <c r="K62" s="28"/>
    </row>
    <row r="63" spans="2:13" ht="15" hidden="1" x14ac:dyDescent="0.2">
      <c r="B63" s="73"/>
      <c r="C63" s="192"/>
      <c r="D63" s="191"/>
      <c r="E63" s="191"/>
      <c r="F63" s="191"/>
      <c r="G63" s="191"/>
      <c r="H63" s="202"/>
      <c r="I63" s="191"/>
      <c r="J63" s="78"/>
      <c r="K63" s="28"/>
    </row>
    <row r="64" spans="2:13" ht="15" x14ac:dyDescent="0.2">
      <c r="B64" s="73"/>
      <c r="C64" s="192"/>
      <c r="D64" s="191" t="s">
        <v>259</v>
      </c>
      <c r="E64" s="191"/>
      <c r="F64" s="191"/>
      <c r="G64" s="191"/>
      <c r="H64" s="202"/>
      <c r="I64" s="191"/>
      <c r="J64" s="78"/>
      <c r="K64" s="28"/>
    </row>
    <row r="65" spans="1:14" ht="15" hidden="1" x14ac:dyDescent="0.2">
      <c r="B65" s="73"/>
      <c r="C65" s="192"/>
      <c r="D65" s="191"/>
      <c r="E65" s="191"/>
      <c r="F65" s="191"/>
      <c r="G65" s="191"/>
      <c r="H65" s="202"/>
      <c r="I65" s="191"/>
      <c r="J65" s="78"/>
      <c r="K65" s="28"/>
      <c r="L65" s="14">
        <v>1577007.7</v>
      </c>
    </row>
    <row r="66" spans="1:14" ht="15" x14ac:dyDescent="0.2">
      <c r="B66" s="73"/>
      <c r="C66" s="192"/>
      <c r="D66" s="191"/>
      <c r="E66" s="191"/>
      <c r="F66" s="191"/>
      <c r="G66" s="191"/>
      <c r="H66" s="199"/>
      <c r="I66" s="191"/>
      <c r="J66" s="78"/>
      <c r="K66" s="28"/>
    </row>
    <row r="67" spans="1:14" ht="17.25" customHeight="1" x14ac:dyDescent="0.2">
      <c r="B67" s="73"/>
      <c r="C67" s="217"/>
      <c r="D67" s="191" t="s">
        <v>243</v>
      </c>
      <c r="E67" s="189"/>
      <c r="F67" s="196"/>
      <c r="G67" s="203"/>
      <c r="H67" s="204"/>
      <c r="I67" s="205"/>
      <c r="J67" s="78"/>
      <c r="K67" s="28"/>
      <c r="N67" s="8"/>
    </row>
    <row r="68" spans="1:14" ht="13.5" customHeight="1" x14ac:dyDescent="0.2">
      <c r="B68" s="73"/>
      <c r="C68" s="217"/>
      <c r="D68" s="191" t="s">
        <v>240</v>
      </c>
      <c r="E68" s="189"/>
      <c r="F68" s="196"/>
      <c r="G68" s="203"/>
      <c r="H68" s="204"/>
      <c r="I68" s="205"/>
      <c r="J68" s="78"/>
      <c r="K68" s="28"/>
      <c r="N68" s="8"/>
    </row>
    <row r="69" spans="1:14" ht="15" x14ac:dyDescent="0.2">
      <c r="B69" s="73"/>
      <c r="C69" s="192"/>
      <c r="D69" s="191" t="s">
        <v>249</v>
      </c>
      <c r="E69" s="189"/>
      <c r="F69" s="206"/>
      <c r="G69" s="195"/>
      <c r="H69" s="207"/>
      <c r="I69" s="191"/>
      <c r="J69" s="78"/>
      <c r="K69" s="28"/>
      <c r="L69" s="35"/>
    </row>
    <row r="70" spans="1:14" ht="15" x14ac:dyDescent="0.2">
      <c r="B70" s="73"/>
      <c r="C70" s="192"/>
      <c r="D70" s="191"/>
      <c r="E70" s="191"/>
      <c r="F70" s="195"/>
      <c r="G70" s="191"/>
      <c r="H70" s="196"/>
      <c r="I70" s="208"/>
      <c r="J70" s="78"/>
      <c r="K70" s="28"/>
      <c r="L70" s="35"/>
    </row>
    <row r="71" spans="1:14" ht="17.25" customHeight="1" x14ac:dyDescent="0.2">
      <c r="B71" s="73"/>
      <c r="C71" s="217" t="s">
        <v>19</v>
      </c>
      <c r="D71" s="209" t="s">
        <v>55</v>
      </c>
      <c r="E71" s="191"/>
      <c r="F71" s="196"/>
      <c r="G71" s="195"/>
      <c r="H71" s="210"/>
      <c r="I71" s="210"/>
      <c r="J71" s="78"/>
      <c r="K71" s="28"/>
    </row>
    <row r="72" spans="1:14" ht="14.25" customHeight="1" x14ac:dyDescent="0.2">
      <c r="A72" s="9"/>
      <c r="B72" s="73"/>
      <c r="C72" s="191"/>
      <c r="D72" s="200"/>
      <c r="E72" s="191"/>
      <c r="F72" s="196"/>
      <c r="G72" s="195"/>
      <c r="H72" s="210"/>
      <c r="I72" s="210"/>
      <c r="J72" s="78"/>
      <c r="K72" s="28"/>
    </row>
    <row r="73" spans="1:14" ht="15" x14ac:dyDescent="0.2">
      <c r="B73" s="73"/>
      <c r="C73" s="191"/>
      <c r="D73" s="191" t="s">
        <v>264</v>
      </c>
      <c r="E73" s="191"/>
      <c r="F73" s="207"/>
      <c r="G73" s="195"/>
      <c r="H73" s="210"/>
      <c r="I73" s="210"/>
      <c r="J73" s="78"/>
      <c r="K73" s="28"/>
    </row>
    <row r="74" spans="1:14" ht="15.75" customHeight="1" x14ac:dyDescent="0.2">
      <c r="A74" s="9"/>
      <c r="B74" s="73"/>
      <c r="C74" s="191"/>
      <c r="D74" s="191" t="s">
        <v>265</v>
      </c>
      <c r="E74" s="191"/>
      <c r="F74" s="196"/>
      <c r="G74" s="195"/>
      <c r="H74" s="211"/>
      <c r="I74" s="210"/>
      <c r="J74" s="78"/>
      <c r="K74" s="28"/>
    </row>
    <row r="75" spans="1:14" ht="15" x14ac:dyDescent="0.2">
      <c r="A75" s="9"/>
      <c r="B75" s="73"/>
      <c r="C75" s="191"/>
      <c r="D75" s="191"/>
      <c r="E75" s="191"/>
      <c r="F75" s="196"/>
      <c r="G75" s="195"/>
      <c r="H75" s="210"/>
      <c r="I75" s="210"/>
      <c r="J75" s="78"/>
      <c r="K75" s="28"/>
    </row>
    <row r="76" spans="1:14" ht="15" hidden="1" x14ac:dyDescent="0.2">
      <c r="B76" s="73"/>
      <c r="C76" s="191"/>
      <c r="D76" s="191"/>
      <c r="E76" s="191"/>
      <c r="F76" s="196"/>
      <c r="G76" s="195"/>
      <c r="H76" s="210"/>
      <c r="I76" s="210"/>
      <c r="J76" s="78"/>
      <c r="K76" s="28"/>
    </row>
    <row r="77" spans="1:14" ht="15" x14ac:dyDescent="0.2">
      <c r="B77" s="73"/>
      <c r="C77" s="191"/>
      <c r="D77" s="191" t="s">
        <v>241</v>
      </c>
      <c r="E77" s="191"/>
      <c r="F77" s="196"/>
      <c r="G77" s="212"/>
      <c r="H77" s="210"/>
      <c r="I77" s="210"/>
      <c r="J77" s="78"/>
      <c r="K77" s="28"/>
    </row>
    <row r="78" spans="1:14" ht="15" x14ac:dyDescent="0.2">
      <c r="B78" s="73"/>
      <c r="C78" s="191"/>
      <c r="D78" s="191" t="s">
        <v>266</v>
      </c>
      <c r="E78" s="191"/>
      <c r="F78" s="196"/>
      <c r="G78" s="195"/>
      <c r="H78" s="210"/>
      <c r="I78" s="210"/>
      <c r="J78" s="78"/>
      <c r="K78" s="28"/>
    </row>
    <row r="79" spans="1:14" ht="15" x14ac:dyDescent="0.2">
      <c r="B79" s="73"/>
      <c r="C79" s="191"/>
      <c r="D79" s="191" t="s">
        <v>267</v>
      </c>
      <c r="E79" s="191"/>
      <c r="F79" s="196"/>
      <c r="G79" s="195"/>
      <c r="H79" s="210"/>
      <c r="I79" s="210"/>
      <c r="J79" s="78"/>
      <c r="K79" s="28"/>
    </row>
    <row r="80" spans="1:14" ht="15" x14ac:dyDescent="0.2">
      <c r="B80" s="73"/>
      <c r="C80" s="196"/>
      <c r="D80" s="196"/>
      <c r="E80" s="191"/>
      <c r="F80" s="196"/>
      <c r="G80" s="213"/>
      <c r="H80" s="213"/>
      <c r="I80" s="213"/>
      <c r="J80" s="78"/>
      <c r="K80" s="28"/>
    </row>
    <row r="81" spans="2:13" ht="15" x14ac:dyDescent="0.2">
      <c r="B81" s="73"/>
      <c r="C81" s="196"/>
      <c r="D81" s="196" t="s">
        <v>250</v>
      </c>
      <c r="E81" s="191"/>
      <c r="F81" s="191"/>
      <c r="G81" s="210"/>
      <c r="H81" s="210"/>
      <c r="I81" s="210"/>
      <c r="J81" s="78"/>
      <c r="K81" s="28"/>
    </row>
    <row r="82" spans="2:13" ht="15" x14ac:dyDescent="0.2">
      <c r="B82" s="73"/>
      <c r="C82" s="196"/>
      <c r="D82" s="196" t="s">
        <v>242</v>
      </c>
      <c r="E82" s="191"/>
      <c r="F82" s="191"/>
      <c r="G82" s="210"/>
      <c r="H82" s="210"/>
      <c r="I82" s="210"/>
      <c r="J82" s="78"/>
      <c r="K82" s="28"/>
    </row>
    <row r="83" spans="2:13" ht="15" x14ac:dyDescent="0.2">
      <c r="B83" s="73"/>
      <c r="C83" s="196"/>
      <c r="D83" s="196"/>
      <c r="E83" s="191"/>
      <c r="F83" s="191"/>
      <c r="G83" s="210"/>
      <c r="H83" s="210"/>
      <c r="I83" s="210"/>
      <c r="J83" s="78"/>
      <c r="K83" s="28"/>
    </row>
    <row r="84" spans="2:13" ht="15.75" thickBot="1" x14ac:dyDescent="0.25">
      <c r="B84" s="92"/>
      <c r="C84" s="214"/>
      <c r="D84" s="214"/>
      <c r="E84" s="215"/>
      <c r="F84" s="215"/>
      <c r="G84" s="216"/>
      <c r="H84" s="216"/>
      <c r="I84" s="216"/>
      <c r="J84" s="94"/>
      <c r="K84" s="28"/>
    </row>
    <row r="85" spans="2:13" ht="15" thickTop="1" x14ac:dyDescent="0.2">
      <c r="C85" s="55"/>
    </row>
    <row r="86" spans="2:13" x14ac:dyDescent="0.2">
      <c r="H86" s="24"/>
    </row>
    <row r="87" spans="2:13" x14ac:dyDescent="0.2">
      <c r="H87" s="24"/>
    </row>
    <row r="88" spans="2:13" x14ac:dyDescent="0.2">
      <c r="D88" s="38"/>
      <c r="E88" s="41"/>
      <c r="F88" s="10"/>
      <c r="G88" s="39"/>
      <c r="H88" s="28"/>
    </row>
    <row r="89" spans="2:13" x14ac:dyDescent="0.2">
      <c r="D89" s="38"/>
      <c r="E89" s="41"/>
      <c r="F89" s="10"/>
      <c r="G89" s="39"/>
      <c r="H89" s="28"/>
      <c r="M89" s="67"/>
    </row>
    <row r="90" spans="2:13" x14ac:dyDescent="0.2">
      <c r="H90" s="43"/>
      <c r="M90" s="67"/>
    </row>
    <row r="91" spans="2:13" x14ac:dyDescent="0.2">
      <c r="H91" s="43"/>
      <c r="M91" s="67"/>
    </row>
    <row r="92" spans="2:13" ht="15" x14ac:dyDescent="0.2">
      <c r="H92" s="43"/>
      <c r="M92" s="154"/>
    </row>
    <row r="93" spans="2:13" ht="15" x14ac:dyDescent="0.2">
      <c r="H93" s="43"/>
      <c r="M93" s="154"/>
    </row>
    <row r="94" spans="2:13" ht="15" x14ac:dyDescent="0.2">
      <c r="H94" s="43"/>
      <c r="M94" s="154"/>
    </row>
    <row r="95" spans="2:13" ht="15" x14ac:dyDescent="0.2">
      <c r="H95" s="43"/>
      <c r="M95" s="154"/>
    </row>
    <row r="96" spans="2:13" ht="15" x14ac:dyDescent="0.2">
      <c r="H96" s="43"/>
      <c r="M96" s="154"/>
    </row>
    <row r="97" spans="8:13" ht="15" x14ac:dyDescent="0.2">
      <c r="H97" s="43"/>
      <c r="M97" s="154"/>
    </row>
    <row r="98" spans="8:13" x14ac:dyDescent="0.2">
      <c r="H98" s="43"/>
      <c r="M98" s="67"/>
    </row>
    <row r="99" spans="8:13" x14ac:dyDescent="0.2">
      <c r="H99" s="43"/>
      <c r="M99" s="67"/>
    </row>
    <row r="100" spans="8:13" x14ac:dyDescent="0.2">
      <c r="H100" s="43"/>
      <c r="M100" s="67"/>
    </row>
    <row r="101" spans="8:13" x14ac:dyDescent="0.2">
      <c r="H101" s="43"/>
      <c r="M101" s="67"/>
    </row>
    <row r="102" spans="8:13" x14ac:dyDescent="0.2">
      <c r="H102" s="44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165"/>
  <sheetViews>
    <sheetView tabSelected="1" zoomScale="110" zoomScaleNormal="110" workbookViewId="0">
      <selection activeCell="M3" sqref="M3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5" customWidth="1"/>
    <col min="13" max="14" width="11.42578125" style="179" customWidth="1"/>
    <col min="15" max="15" width="11.42578125" style="2" customWidth="1"/>
    <col min="16" max="16" width="16.7109375" style="2" customWidth="1"/>
    <col min="17" max="19" width="11.42578125" style="2" customWidth="1"/>
    <col min="20" max="16384" width="11.42578125" style="1"/>
  </cols>
  <sheetData>
    <row r="2" spans="3:11" ht="15.75" thickBot="1" x14ac:dyDescent="0.25"/>
    <row r="3" spans="3:11" ht="15.75" thickTop="1" x14ac:dyDescent="0.2">
      <c r="C3" s="267"/>
      <c r="D3" s="268"/>
      <c r="E3" s="268"/>
      <c r="F3" s="268"/>
      <c r="G3" s="268"/>
      <c r="H3" s="268"/>
      <c r="I3" s="268"/>
      <c r="J3" s="268"/>
      <c r="K3" s="269"/>
    </row>
    <row r="4" spans="3:11" x14ac:dyDescent="0.2">
      <c r="C4" s="270"/>
      <c r="D4" s="393"/>
      <c r="E4" s="393"/>
      <c r="F4" s="393"/>
      <c r="G4" s="393"/>
      <c r="H4" s="393"/>
      <c r="I4" s="393"/>
      <c r="J4" s="393"/>
      <c r="K4" s="271"/>
    </row>
    <row r="5" spans="3:11" x14ac:dyDescent="0.2">
      <c r="C5" s="270"/>
      <c r="D5" s="393"/>
      <c r="E5" s="393"/>
      <c r="F5" s="393"/>
      <c r="G5" s="393"/>
      <c r="H5" s="393"/>
      <c r="I5" s="393"/>
      <c r="J5" s="393"/>
      <c r="K5" s="271"/>
    </row>
    <row r="6" spans="3:11" x14ac:dyDescent="0.2">
      <c r="C6" s="387" t="s">
        <v>191</v>
      </c>
      <c r="D6" s="388"/>
      <c r="E6" s="388"/>
      <c r="F6" s="388"/>
      <c r="G6" s="388"/>
      <c r="H6" s="388"/>
      <c r="I6" s="388"/>
      <c r="J6" s="388"/>
      <c r="K6" s="389"/>
    </row>
    <row r="7" spans="3:11" x14ac:dyDescent="0.2">
      <c r="C7" s="387" t="s">
        <v>273</v>
      </c>
      <c r="D7" s="388"/>
      <c r="E7" s="388"/>
      <c r="F7" s="388"/>
      <c r="G7" s="388"/>
      <c r="H7" s="388"/>
      <c r="I7" s="388"/>
      <c r="J7" s="388"/>
      <c r="K7" s="389"/>
    </row>
    <row r="8" spans="3:11" x14ac:dyDescent="0.2">
      <c r="C8" s="387" t="s">
        <v>168</v>
      </c>
      <c r="D8" s="388"/>
      <c r="E8" s="388"/>
      <c r="F8" s="388"/>
      <c r="G8" s="388"/>
      <c r="H8" s="388"/>
      <c r="I8" s="388"/>
      <c r="J8" s="388"/>
      <c r="K8" s="389"/>
    </row>
    <row r="9" spans="3:11" ht="15.75" thickBot="1" x14ac:dyDescent="0.25">
      <c r="C9" s="390"/>
      <c r="D9" s="391"/>
      <c r="E9" s="391"/>
      <c r="F9" s="391"/>
      <c r="G9" s="391"/>
      <c r="H9" s="391"/>
      <c r="I9" s="391"/>
      <c r="J9" s="391"/>
      <c r="K9" s="392"/>
    </row>
    <row r="10" spans="3:11" ht="6" customHeight="1" x14ac:dyDescent="0.2">
      <c r="C10" s="272"/>
      <c r="D10" s="222"/>
      <c r="E10" s="222"/>
      <c r="F10" s="222"/>
      <c r="G10" s="222"/>
      <c r="H10" s="222"/>
      <c r="I10" s="222"/>
      <c r="J10" s="222"/>
      <c r="K10" s="273"/>
    </row>
    <row r="11" spans="3:11" ht="18.600000000000001" customHeight="1" x14ac:dyDescent="0.2">
      <c r="C11" s="272"/>
      <c r="D11" s="52" t="s">
        <v>172</v>
      </c>
      <c r="E11" s="223"/>
      <c r="F11" s="324">
        <v>2021</v>
      </c>
      <c r="G11" s="224"/>
      <c r="H11" s="324">
        <v>2020</v>
      </c>
      <c r="I11" s="220"/>
      <c r="J11" s="224" t="s">
        <v>61</v>
      </c>
      <c r="K11" s="274"/>
    </row>
    <row r="12" spans="3:11" ht="3.6" customHeight="1" x14ac:dyDescent="0.2">
      <c r="C12" s="272"/>
      <c r="D12" s="223"/>
      <c r="E12" s="223"/>
      <c r="F12" s="220"/>
      <c r="G12" s="224"/>
      <c r="H12" s="224"/>
      <c r="I12" s="220"/>
      <c r="J12" s="224"/>
      <c r="K12" s="274"/>
    </row>
    <row r="13" spans="3:11" ht="15.6" customHeight="1" x14ac:dyDescent="0.2">
      <c r="C13" s="272"/>
      <c r="D13" s="60" t="s">
        <v>22</v>
      </c>
      <c r="E13" s="220"/>
      <c r="F13" s="220"/>
      <c r="G13" s="220"/>
      <c r="H13" s="225"/>
      <c r="I13" s="220"/>
      <c r="J13" s="220"/>
      <c r="K13" s="274"/>
    </row>
    <row r="14" spans="3:11" x14ac:dyDescent="0.2">
      <c r="C14" s="272"/>
      <c r="D14" s="220" t="s">
        <v>23</v>
      </c>
      <c r="E14" s="220"/>
      <c r="F14" s="344">
        <f>+'NOTAS   '!H22+'NOTAS   '!H28</f>
        <v>76264894.129999995</v>
      </c>
      <c r="G14" s="220"/>
      <c r="H14" s="344">
        <v>2258509.79</v>
      </c>
      <c r="I14" s="220"/>
      <c r="J14" s="227">
        <v>1462536.8</v>
      </c>
      <c r="K14" s="274"/>
    </row>
    <row r="15" spans="3:11" x14ac:dyDescent="0.2">
      <c r="C15" s="272"/>
      <c r="D15" s="220" t="s">
        <v>268</v>
      </c>
      <c r="E15" s="220"/>
      <c r="F15" s="344">
        <f>+'NOTAS   '!H44</f>
        <v>221588402.19</v>
      </c>
      <c r="G15" s="220"/>
      <c r="H15" s="344">
        <v>141770712</v>
      </c>
      <c r="I15" s="220"/>
      <c r="J15" s="227"/>
      <c r="K15" s="274"/>
    </row>
    <row r="16" spans="3:11" x14ac:dyDescent="0.2">
      <c r="C16" s="272"/>
      <c r="D16" s="220" t="s">
        <v>24</v>
      </c>
      <c r="E16" s="220"/>
      <c r="F16" s="344">
        <v>2797749</v>
      </c>
      <c r="G16" s="220"/>
      <c r="H16" s="344">
        <v>2797749</v>
      </c>
      <c r="I16" s="220"/>
      <c r="J16" s="227"/>
      <c r="K16" s="274"/>
    </row>
    <row r="17" spans="3:11" x14ac:dyDescent="0.2">
      <c r="C17" s="272"/>
      <c r="D17" s="220" t="s">
        <v>47</v>
      </c>
      <c r="E17" s="220"/>
      <c r="F17" s="344">
        <v>856107</v>
      </c>
      <c r="G17" s="220"/>
      <c r="H17" s="344">
        <v>627455.25</v>
      </c>
      <c r="I17" s="220"/>
      <c r="J17" s="227"/>
      <c r="K17" s="274"/>
    </row>
    <row r="18" spans="3:11" x14ac:dyDescent="0.2">
      <c r="C18" s="272"/>
      <c r="D18" s="220" t="s">
        <v>181</v>
      </c>
      <c r="E18" s="220"/>
      <c r="F18" s="344">
        <v>1696429</v>
      </c>
      <c r="G18" s="229"/>
      <c r="H18" s="344">
        <v>3707212.53</v>
      </c>
      <c r="I18" s="220"/>
      <c r="J18" s="229"/>
      <c r="K18" s="274"/>
    </row>
    <row r="19" spans="3:11" x14ac:dyDescent="0.2">
      <c r="C19" s="272"/>
      <c r="D19" s="220" t="s">
        <v>25</v>
      </c>
      <c r="E19" s="220"/>
      <c r="F19" s="344">
        <f>+'NOTAS   '!H57</f>
        <v>4867192.03</v>
      </c>
      <c r="G19" s="229"/>
      <c r="H19" s="344">
        <v>7943715</v>
      </c>
      <c r="I19" s="220"/>
      <c r="J19" s="229"/>
      <c r="K19" s="274"/>
    </row>
    <row r="20" spans="3:11" x14ac:dyDescent="0.2">
      <c r="C20" s="272"/>
      <c r="D20" s="220" t="s">
        <v>63</v>
      </c>
      <c r="E20" s="220"/>
      <c r="F20" s="344">
        <v>179500342</v>
      </c>
      <c r="G20" s="229"/>
      <c r="H20" s="344">
        <v>110932185</v>
      </c>
      <c r="I20" s="220"/>
      <c r="J20" s="229"/>
      <c r="K20" s="274"/>
    </row>
    <row r="21" spans="3:11" x14ac:dyDescent="0.2">
      <c r="C21" s="272"/>
      <c r="D21" s="220" t="s">
        <v>26</v>
      </c>
      <c r="E21" s="220"/>
      <c r="F21" s="344">
        <v>121500000</v>
      </c>
      <c r="G21" s="229"/>
      <c r="H21" s="344">
        <v>348709234.20999998</v>
      </c>
      <c r="I21" s="220"/>
      <c r="J21" s="229"/>
      <c r="K21" s="274"/>
    </row>
    <row r="22" spans="3:11" x14ac:dyDescent="0.2">
      <c r="C22" s="272"/>
      <c r="D22" s="220" t="s">
        <v>64</v>
      </c>
      <c r="E22" s="220"/>
      <c r="F22" s="345">
        <v>161300000</v>
      </c>
      <c r="G22" s="220"/>
      <c r="H22" s="345">
        <v>346952000</v>
      </c>
      <c r="I22" s="220"/>
      <c r="J22" s="227">
        <f>SUM(J19:J20)</f>
        <v>0</v>
      </c>
      <c r="K22" s="274"/>
    </row>
    <row r="23" spans="3:11" x14ac:dyDescent="0.2">
      <c r="C23" s="272"/>
      <c r="D23" s="187" t="s">
        <v>205</v>
      </c>
      <c r="E23" s="220"/>
      <c r="F23" s="56">
        <f>SUM(F14:F22)</f>
        <v>770371115.3499999</v>
      </c>
      <c r="G23" s="220"/>
      <c r="H23" s="266">
        <f>SUM(H14:H22)</f>
        <v>965698772.77999997</v>
      </c>
      <c r="I23" s="220"/>
      <c r="J23" s="220"/>
      <c r="K23" s="274"/>
    </row>
    <row r="24" spans="3:11" x14ac:dyDescent="0.2">
      <c r="C24" s="272"/>
      <c r="D24" s="323"/>
      <c r="E24" s="220"/>
      <c r="F24" s="225"/>
      <c r="G24" s="220"/>
      <c r="H24" s="226"/>
      <c r="I24" s="220"/>
      <c r="J24" s="220"/>
      <c r="K24" s="274"/>
    </row>
    <row r="25" spans="3:11" x14ac:dyDescent="0.2">
      <c r="C25" s="272"/>
      <c r="D25" s="52" t="s">
        <v>30</v>
      </c>
      <c r="E25" s="220"/>
      <c r="F25" s="220"/>
      <c r="G25" s="230"/>
      <c r="H25" s="231"/>
      <c r="I25" s="220"/>
      <c r="J25" s="229">
        <v>399912.37</v>
      </c>
      <c r="K25" s="274"/>
    </row>
    <row r="26" spans="3:11" x14ac:dyDescent="0.2">
      <c r="C26" s="272"/>
      <c r="D26" s="220" t="s">
        <v>27</v>
      </c>
      <c r="E26" s="228"/>
      <c r="F26" s="221">
        <f>+'NOTAS   '!G81</f>
        <v>481843311.60000002</v>
      </c>
      <c r="G26" s="220"/>
      <c r="H26" s="221">
        <v>478476717</v>
      </c>
      <c r="I26" s="220"/>
      <c r="J26" s="229"/>
      <c r="K26" s="274"/>
    </row>
    <row r="27" spans="3:11" ht="14.45" customHeight="1" x14ac:dyDescent="0.2">
      <c r="C27" s="272"/>
      <c r="D27" s="220" t="s">
        <v>187</v>
      </c>
      <c r="E27" s="220"/>
      <c r="F27" s="236">
        <f>-'NOTAS   '!H81</f>
        <v>-148792608.91</v>
      </c>
      <c r="G27" s="220"/>
      <c r="H27" s="236">
        <v>-134914285</v>
      </c>
      <c r="I27" s="220"/>
      <c r="J27" s="229"/>
      <c r="K27" s="274"/>
    </row>
    <row r="28" spans="3:11" ht="13.9" customHeight="1" x14ac:dyDescent="0.2">
      <c r="C28" s="272"/>
      <c r="D28" s="220" t="s">
        <v>184</v>
      </c>
      <c r="E28" s="220"/>
      <c r="F28" s="234">
        <v>507392.04</v>
      </c>
      <c r="G28" s="220"/>
      <c r="H28" s="335">
        <v>507392</v>
      </c>
      <c r="I28" s="220"/>
      <c r="J28" s="229"/>
      <c r="K28" s="274"/>
    </row>
    <row r="29" spans="3:11" ht="17.25" customHeight="1" x14ac:dyDescent="0.2">
      <c r="C29" s="272"/>
      <c r="D29" s="187" t="s">
        <v>206</v>
      </c>
      <c r="E29" s="232"/>
      <c r="F29" s="218">
        <f>SUM(F26:F28)</f>
        <v>333558094.73000008</v>
      </c>
      <c r="G29" s="220"/>
      <c r="H29" s="266">
        <f>SUM(H26:H28)</f>
        <v>344069824</v>
      </c>
      <c r="I29" s="220"/>
      <c r="J29" s="229"/>
      <c r="K29" s="274"/>
    </row>
    <row r="30" spans="3:11" ht="17.25" customHeight="1" x14ac:dyDescent="0.2">
      <c r="C30" s="272"/>
      <c r="D30" s="220"/>
      <c r="E30" s="220"/>
      <c r="F30" s="220"/>
      <c r="G30" s="220"/>
      <c r="H30" s="226"/>
      <c r="I30" s="220"/>
      <c r="J30" s="227">
        <f>SUM(J25:J25)</f>
        <v>399912.37</v>
      </c>
      <c r="K30" s="274"/>
    </row>
    <row r="31" spans="3:11" ht="16.149999999999999" customHeight="1" thickBot="1" x14ac:dyDescent="0.25">
      <c r="C31" s="272"/>
      <c r="D31" s="187" t="s">
        <v>38</v>
      </c>
      <c r="E31" s="220"/>
      <c r="F31" s="176">
        <f>+F29+F23</f>
        <v>1103929210.0799999</v>
      </c>
      <c r="G31" s="322"/>
      <c r="H31" s="176">
        <f>+H23+H29</f>
        <v>1309768596.78</v>
      </c>
      <c r="I31" s="220"/>
      <c r="J31" s="235">
        <f>+J14+J22+J30</f>
        <v>1862449.17</v>
      </c>
      <c r="K31" s="274"/>
    </row>
    <row r="32" spans="3:11" ht="10.9" customHeight="1" thickTop="1" x14ac:dyDescent="0.2">
      <c r="C32" s="272"/>
      <c r="D32" s="220"/>
      <c r="E32" s="220"/>
      <c r="F32" s="220"/>
      <c r="G32" s="220"/>
      <c r="H32" s="227"/>
      <c r="I32" s="220"/>
      <c r="J32" s="220"/>
      <c r="K32" s="274"/>
    </row>
    <row r="33" spans="3:12" ht="16.899999999999999" customHeight="1" x14ac:dyDescent="0.2">
      <c r="C33" s="272"/>
      <c r="D33" s="52" t="s">
        <v>29</v>
      </c>
      <c r="E33" s="220"/>
      <c r="F33" s="332"/>
      <c r="G33" s="229"/>
      <c r="H33" s="225"/>
      <c r="I33" s="220"/>
      <c r="J33" s="234">
        <v>-9259239.8100000005</v>
      </c>
      <c r="K33" s="274"/>
    </row>
    <row r="34" spans="3:12" ht="17.45" customHeight="1" x14ac:dyDescent="0.2">
      <c r="C34" s="272"/>
      <c r="D34" s="228" t="s">
        <v>35</v>
      </c>
      <c r="E34" s="220"/>
      <c r="F34" s="227"/>
      <c r="G34" s="220"/>
      <c r="H34" s="220"/>
      <c r="I34" s="220"/>
      <c r="J34" s="229"/>
      <c r="K34" s="274"/>
    </row>
    <row r="35" spans="3:12" ht="12.6" customHeight="1" x14ac:dyDescent="0.2">
      <c r="C35" s="275"/>
      <c r="D35" s="220" t="s">
        <v>33</v>
      </c>
      <c r="E35" s="228"/>
      <c r="F35" s="237">
        <f>+'NOTAS   '!H120</f>
        <v>2801719.28</v>
      </c>
      <c r="G35" s="220"/>
      <c r="H35" s="237">
        <v>4631143</v>
      </c>
      <c r="I35" s="220"/>
      <c r="J35" s="220"/>
      <c r="K35" s="274"/>
    </row>
    <row r="36" spans="3:12" ht="13.9" customHeight="1" x14ac:dyDescent="0.2">
      <c r="C36" s="275"/>
      <c r="D36" s="220" t="s">
        <v>32</v>
      </c>
      <c r="E36" s="228"/>
      <c r="F36" s="237">
        <f>+'NOTAS   '!H146</f>
        <v>50478079.240000002</v>
      </c>
      <c r="G36" s="224"/>
      <c r="H36" s="237">
        <v>45474005</v>
      </c>
      <c r="I36" s="220"/>
      <c r="J36" s="224" t="s">
        <v>61</v>
      </c>
      <c r="K36" s="274"/>
    </row>
    <row r="37" spans="3:12" ht="12.6" customHeight="1" x14ac:dyDescent="0.2">
      <c r="C37" s="275"/>
      <c r="D37" s="220" t="s">
        <v>123</v>
      </c>
      <c r="E37" s="228"/>
      <c r="F37" s="238">
        <v>21568.22</v>
      </c>
      <c r="G37" s="224"/>
      <c r="H37" s="238">
        <v>9640</v>
      </c>
      <c r="I37" s="220"/>
      <c r="J37" s="224"/>
      <c r="K37" s="274"/>
    </row>
    <row r="38" spans="3:12" ht="15" customHeight="1" x14ac:dyDescent="0.2">
      <c r="C38" s="275"/>
      <c r="D38" s="187" t="s">
        <v>203</v>
      </c>
      <c r="E38" s="220"/>
      <c r="F38" s="56">
        <f>SUM(F35:F37)-1</f>
        <v>53301365.740000002</v>
      </c>
      <c r="G38" s="229"/>
      <c r="H38" s="139">
        <f>SUM(H35:H37)</f>
        <v>50114788</v>
      </c>
      <c r="I38" s="220"/>
      <c r="J38" s="229"/>
      <c r="K38" s="274"/>
      <c r="L38" s="141"/>
    </row>
    <row r="39" spans="3:12" ht="12" customHeight="1" x14ac:dyDescent="0.2">
      <c r="C39" s="275"/>
      <c r="D39" s="220"/>
      <c r="E39" s="220"/>
      <c r="F39" s="220"/>
      <c r="G39" s="229"/>
      <c r="H39" s="229"/>
      <c r="I39" s="220"/>
      <c r="J39" s="229"/>
      <c r="K39" s="274"/>
      <c r="L39" s="141"/>
    </row>
    <row r="40" spans="3:12" x14ac:dyDescent="0.2">
      <c r="C40" s="275"/>
      <c r="D40" s="52" t="s">
        <v>34</v>
      </c>
      <c r="E40" s="220"/>
      <c r="F40" s="220"/>
      <c r="G40" s="229"/>
      <c r="H40" s="229"/>
      <c r="I40" s="220"/>
      <c r="J40" s="229"/>
      <c r="K40" s="274"/>
      <c r="L40" s="141"/>
    </row>
    <row r="41" spans="3:12" x14ac:dyDescent="0.2">
      <c r="C41" s="275"/>
      <c r="D41" s="220" t="s">
        <v>31</v>
      </c>
      <c r="E41" s="228"/>
      <c r="F41" s="237">
        <f>+'NOTAS   '!H127</f>
        <v>338628327.38999999</v>
      </c>
      <c r="G41" s="229"/>
      <c r="H41" s="229">
        <v>488977816</v>
      </c>
      <c r="I41" s="220"/>
      <c r="J41" s="229"/>
      <c r="K41" s="274"/>
      <c r="L41" s="141"/>
    </row>
    <row r="42" spans="3:12" ht="12.6" customHeight="1" x14ac:dyDescent="0.2">
      <c r="C42" s="275"/>
      <c r="D42" s="220" t="s">
        <v>157</v>
      </c>
      <c r="E42" s="228"/>
      <c r="F42" s="237">
        <v>4598148</v>
      </c>
      <c r="G42" s="229"/>
      <c r="H42" s="229">
        <v>1629914.1</v>
      </c>
      <c r="I42" s="220"/>
      <c r="J42" s="229"/>
      <c r="K42" s="274"/>
      <c r="L42" s="141"/>
    </row>
    <row r="43" spans="3:12" ht="13.5" customHeight="1" x14ac:dyDescent="0.2">
      <c r="C43" s="275"/>
      <c r="D43" s="220" t="s">
        <v>158</v>
      </c>
      <c r="E43" s="228"/>
      <c r="F43" s="238">
        <v>161300000</v>
      </c>
      <c r="G43" s="229"/>
      <c r="H43" s="234">
        <v>346952000</v>
      </c>
      <c r="I43" s="220"/>
      <c r="J43" s="229"/>
      <c r="K43" s="274"/>
      <c r="L43" s="141"/>
    </row>
    <row r="44" spans="3:12" ht="14.45" customHeight="1" x14ac:dyDescent="0.2">
      <c r="C44" s="275"/>
      <c r="D44" s="187" t="s">
        <v>192</v>
      </c>
      <c r="E44" s="220"/>
      <c r="F44" s="379">
        <f>SUM(F41:F43)</f>
        <v>504526475.38999999</v>
      </c>
      <c r="G44" s="229"/>
      <c r="H44" s="56">
        <f>SUM(H41:H43)</f>
        <v>837559730.10000002</v>
      </c>
      <c r="I44" s="220"/>
      <c r="J44" s="229"/>
      <c r="K44" s="274"/>
      <c r="L44" s="141"/>
    </row>
    <row r="45" spans="3:12" ht="6.6" customHeight="1" x14ac:dyDescent="0.2">
      <c r="C45" s="275"/>
      <c r="D45" s="323"/>
      <c r="E45" s="220"/>
      <c r="F45" s="225"/>
      <c r="G45" s="229"/>
      <c r="H45" s="249"/>
      <c r="I45" s="220"/>
      <c r="J45" s="229"/>
      <c r="K45" s="274"/>
      <c r="L45" s="141"/>
    </row>
    <row r="46" spans="3:12" ht="18.75" customHeight="1" thickBot="1" x14ac:dyDescent="0.25">
      <c r="C46" s="275"/>
      <c r="D46" s="187" t="s">
        <v>39</v>
      </c>
      <c r="E46" s="232"/>
      <c r="F46" s="252">
        <f>+F38+F44</f>
        <v>557827841.13</v>
      </c>
      <c r="G46" s="229"/>
      <c r="H46" s="252">
        <f>+H38+H44</f>
        <v>887674518.10000002</v>
      </c>
      <c r="I46" s="220"/>
      <c r="J46" s="229"/>
      <c r="K46" s="274"/>
      <c r="L46" s="141"/>
    </row>
    <row r="47" spans="3:12" ht="10.9" customHeight="1" thickTop="1" x14ac:dyDescent="0.2">
      <c r="C47" s="275"/>
      <c r="D47" s="250"/>
      <c r="E47" s="220"/>
      <c r="F47" s="220"/>
      <c r="G47" s="227"/>
      <c r="H47" s="233"/>
      <c r="I47" s="220"/>
      <c r="J47" s="227" t="e">
        <f>+#REF!+#REF!+#REF!</f>
        <v>#REF!</v>
      </c>
      <c r="K47" s="274"/>
      <c r="L47" s="141"/>
    </row>
    <row r="48" spans="3:12" ht="13.9" customHeight="1" x14ac:dyDescent="0.2">
      <c r="C48" s="275"/>
      <c r="D48" s="60" t="s">
        <v>193</v>
      </c>
      <c r="E48" s="220"/>
      <c r="F48" s="229"/>
      <c r="G48" s="229"/>
      <c r="H48" s="220"/>
      <c r="I48" s="220"/>
      <c r="J48" s="220"/>
      <c r="K48" s="274"/>
      <c r="L48" s="141"/>
    </row>
    <row r="49" spans="3:19" x14ac:dyDescent="0.2">
      <c r="C49" s="275"/>
      <c r="D49" s="220" t="s">
        <v>44</v>
      </c>
      <c r="E49" s="220"/>
      <c r="F49" s="221">
        <v>94403309</v>
      </c>
      <c r="G49" s="229"/>
      <c r="H49" s="221">
        <v>101467632</v>
      </c>
      <c r="I49" s="220"/>
      <c r="J49" s="234">
        <v>53367236.979999997</v>
      </c>
      <c r="K49" s="274"/>
      <c r="L49" s="141"/>
    </row>
    <row r="50" spans="3:19" x14ac:dyDescent="0.2">
      <c r="C50" s="275"/>
      <c r="D50" s="220" t="s">
        <v>194</v>
      </c>
      <c r="E50" s="220"/>
      <c r="F50" s="221">
        <v>432858909.22000003</v>
      </c>
      <c r="G50" s="229"/>
      <c r="H50" s="221">
        <v>288625385</v>
      </c>
      <c r="I50" s="220"/>
      <c r="J50" s="229"/>
      <c r="K50" s="274"/>
      <c r="L50" s="141"/>
    </row>
    <row r="51" spans="3:19" x14ac:dyDescent="0.2">
      <c r="C51" s="275"/>
      <c r="D51" s="220" t="s">
        <v>36</v>
      </c>
      <c r="E51" s="220"/>
      <c r="F51" s="381">
        <v>18839150.739999998</v>
      </c>
      <c r="G51" s="229"/>
      <c r="H51" s="328">
        <v>32001062</v>
      </c>
      <c r="I51" s="220"/>
      <c r="J51" s="229"/>
      <c r="K51" s="274"/>
    </row>
    <row r="52" spans="3:19" x14ac:dyDescent="0.2">
      <c r="C52" s="275"/>
      <c r="D52" s="187" t="s">
        <v>45</v>
      </c>
      <c r="E52" s="220"/>
      <c r="F52" s="257">
        <f>SUM(F49:F51)</f>
        <v>546101368.96000004</v>
      </c>
      <c r="G52" s="229"/>
      <c r="H52" s="325">
        <f>SUM(H49:H51)</f>
        <v>422094079</v>
      </c>
      <c r="I52" s="220"/>
      <c r="J52" s="229"/>
      <c r="K52" s="274"/>
    </row>
    <row r="53" spans="3:19" x14ac:dyDescent="0.2">
      <c r="C53" s="275"/>
      <c r="D53" s="220"/>
      <c r="E53" s="220"/>
      <c r="F53" s="229"/>
      <c r="G53" s="229"/>
      <c r="H53" s="229"/>
      <c r="I53" s="220"/>
      <c r="J53" s="220"/>
      <c r="K53" s="274"/>
    </row>
    <row r="54" spans="3:19" ht="15.75" thickBot="1" x14ac:dyDescent="0.25">
      <c r="C54" s="275"/>
      <c r="D54" s="187" t="s">
        <v>46</v>
      </c>
      <c r="E54" s="219"/>
      <c r="F54" s="176">
        <f>+F52+F46</f>
        <v>1103929210.0900002</v>
      </c>
      <c r="G54" s="64"/>
      <c r="H54" s="176">
        <f>+H52+H46</f>
        <v>1309768597.0999999</v>
      </c>
      <c r="I54" s="220"/>
      <c r="J54" s="235" t="e">
        <f>SUM(J47:J49)</f>
        <v>#REF!</v>
      </c>
      <c r="K54" s="274"/>
    </row>
    <row r="55" spans="3:19" ht="16.5" thickTop="1" thickBot="1" x14ac:dyDescent="0.25">
      <c r="C55" s="276"/>
      <c r="D55" s="277"/>
      <c r="E55" s="277"/>
      <c r="F55" s="277"/>
      <c r="G55" s="278"/>
      <c r="H55" s="278" t="s">
        <v>73</v>
      </c>
      <c r="I55" s="279"/>
      <c r="J55" s="279"/>
      <c r="K55" s="280"/>
    </row>
    <row r="56" spans="3:19" ht="15.75" thickTop="1" x14ac:dyDescent="0.2">
      <c r="C56" s="51"/>
      <c r="D56" s="219"/>
      <c r="E56" s="219"/>
      <c r="F56" s="251"/>
      <c r="G56" s="220"/>
      <c r="H56" s="225"/>
      <c r="I56" s="220"/>
      <c r="J56" s="234">
        <v>-5348157.34</v>
      </c>
      <c r="K56" s="220"/>
    </row>
    <row r="57" spans="3:19" x14ac:dyDescent="0.2">
      <c r="C57" s="51"/>
      <c r="D57" s="219"/>
      <c r="E57" s="219"/>
      <c r="F57" s="329"/>
      <c r="G57" s="329"/>
      <c r="H57" s="329"/>
      <c r="I57" s="220"/>
      <c r="J57" s="229"/>
      <c r="K57" s="220"/>
    </row>
    <row r="58" spans="3:19" x14ac:dyDescent="0.2">
      <c r="C58" s="51"/>
      <c r="D58" s="219"/>
      <c r="E58" s="219"/>
      <c r="F58" s="251"/>
      <c r="G58" s="251"/>
      <c r="H58" s="251"/>
      <c r="I58" s="220"/>
      <c r="J58" s="229"/>
      <c r="K58" s="220"/>
    </row>
    <row r="59" spans="3:19" x14ac:dyDescent="0.2">
      <c r="C59" s="253"/>
      <c r="D59" s="250"/>
      <c r="E59" s="250"/>
      <c r="F59" s="254"/>
      <c r="G59" s="250"/>
      <c r="H59" s="255"/>
      <c r="I59" s="250"/>
      <c r="J59" s="250"/>
      <c r="K59" s="250"/>
      <c r="L59" s="141"/>
    </row>
    <row r="60" spans="3:19" x14ac:dyDescent="0.2">
      <c r="C60" s="19"/>
      <c r="D60" s="351" t="s">
        <v>213</v>
      </c>
      <c r="E60" s="241"/>
      <c r="F60" s="351"/>
      <c r="G60" s="352" t="s">
        <v>214</v>
      </c>
      <c r="H60" s="352"/>
      <c r="I60" s="241"/>
      <c r="J60" s="241"/>
      <c r="K60" s="241"/>
      <c r="L60" s="141"/>
    </row>
    <row r="61" spans="3:19" x14ac:dyDescent="0.2">
      <c r="C61" s="7"/>
      <c r="D61" s="16" t="s">
        <v>211</v>
      </c>
      <c r="E61" s="242"/>
      <c r="F61" s="394" t="s">
        <v>37</v>
      </c>
      <c r="G61" s="394"/>
      <c r="H61" s="394"/>
      <c r="I61" s="243"/>
      <c r="J61" s="243"/>
      <c r="K61" s="244"/>
      <c r="L61" s="142"/>
    </row>
    <row r="62" spans="3:19" x14ac:dyDescent="0.2">
      <c r="C62" s="19"/>
      <c r="D62" s="241"/>
      <c r="E62" s="241"/>
      <c r="F62" s="241"/>
      <c r="G62" s="241"/>
      <c r="H62" s="241"/>
      <c r="I62" s="241"/>
      <c r="J62" s="241"/>
      <c r="K62" s="241"/>
      <c r="L62" s="141"/>
    </row>
    <row r="63" spans="3:19" x14ac:dyDescent="0.2">
      <c r="C63" s="19"/>
      <c r="D63" s="241"/>
      <c r="E63" s="241"/>
      <c r="F63" s="241"/>
      <c r="G63" s="241"/>
      <c r="H63" s="241"/>
      <c r="I63" s="241"/>
      <c r="J63" s="241"/>
      <c r="K63" s="241"/>
      <c r="L63" s="141"/>
      <c r="M63" s="2"/>
      <c r="N63" s="2"/>
      <c r="P63" s="1"/>
      <c r="Q63" s="1"/>
      <c r="R63" s="1"/>
      <c r="S63" s="1"/>
    </row>
    <row r="64" spans="3:19" x14ac:dyDescent="0.2">
      <c r="C64" s="19"/>
      <c r="D64" s="240"/>
      <c r="E64" s="241"/>
      <c r="F64" s="241"/>
      <c r="G64" s="241"/>
      <c r="H64" s="241"/>
      <c r="I64" s="241"/>
      <c r="J64" s="241"/>
      <c r="K64" s="241"/>
      <c r="L64" s="141"/>
      <c r="M64" s="2"/>
      <c r="N64" s="2"/>
      <c r="P64" s="1"/>
      <c r="Q64" s="1"/>
      <c r="R64" s="1"/>
      <c r="S64" s="1"/>
    </row>
    <row r="65" spans="3:19" x14ac:dyDescent="0.2">
      <c r="C65" s="19"/>
      <c r="D65" s="353" t="s">
        <v>215</v>
      </c>
      <c r="E65" s="354"/>
      <c r="F65" s="354"/>
      <c r="G65" s="256"/>
      <c r="H65" s="256"/>
      <c r="I65" s="256"/>
      <c r="J65" s="256"/>
      <c r="K65" s="241"/>
      <c r="L65" s="141"/>
      <c r="M65" s="2"/>
      <c r="N65" s="2"/>
      <c r="P65" s="1"/>
      <c r="Q65" s="1"/>
      <c r="R65" s="1"/>
      <c r="S65" s="1"/>
    </row>
    <row r="66" spans="3:19" x14ac:dyDescent="0.2">
      <c r="C66" s="19"/>
      <c r="D66" s="263" t="s">
        <v>216</v>
      </c>
      <c r="E66" s="245"/>
      <c r="F66" s="245"/>
      <c r="G66" s="245"/>
      <c r="H66" s="241"/>
      <c r="I66" s="245"/>
      <c r="J66" s="245"/>
      <c r="K66" s="241"/>
      <c r="M66" s="2"/>
      <c r="N66" s="2"/>
      <c r="P66" s="1"/>
      <c r="Q66" s="1"/>
      <c r="R66" s="1"/>
      <c r="S66" s="1"/>
    </row>
    <row r="67" spans="3:19" x14ac:dyDescent="0.2">
      <c r="C67" s="18"/>
      <c r="D67" s="240"/>
      <c r="E67" s="240"/>
      <c r="F67" s="240"/>
      <c r="G67" s="240"/>
      <c r="H67" s="246"/>
      <c r="I67" s="240"/>
      <c r="J67" s="240"/>
      <c r="K67" s="240"/>
      <c r="M67" s="2"/>
      <c r="N67" s="2"/>
      <c r="P67" s="1"/>
      <c r="Q67" s="1"/>
      <c r="R67" s="1"/>
      <c r="S67" s="1"/>
    </row>
    <row r="68" spans="3:19" x14ac:dyDescent="0.2">
      <c r="C68" s="18"/>
      <c r="D68" s="240"/>
      <c r="E68" s="240"/>
      <c r="F68" s="180"/>
      <c r="G68" s="240"/>
      <c r="H68" s="246"/>
      <c r="I68" s="240"/>
      <c r="J68" s="240"/>
      <c r="K68" s="240"/>
      <c r="M68" s="2"/>
      <c r="N68" s="2"/>
      <c r="P68" s="1"/>
      <c r="Q68" s="1"/>
      <c r="R68" s="1"/>
      <c r="S68" s="1"/>
    </row>
    <row r="69" spans="3:19" x14ac:dyDescent="0.2">
      <c r="C69" s="18"/>
      <c r="D69" s="246"/>
      <c r="E69" s="240"/>
      <c r="F69" s="180"/>
      <c r="G69" s="240"/>
      <c r="H69" s="240"/>
      <c r="I69" s="240"/>
      <c r="J69" s="240"/>
      <c r="K69" s="240"/>
      <c r="M69" s="2"/>
      <c r="N69" s="2"/>
      <c r="P69" s="1"/>
      <c r="Q69" s="1"/>
      <c r="R69" s="1"/>
      <c r="S69" s="1"/>
    </row>
    <row r="70" spans="3:19" x14ac:dyDescent="0.2">
      <c r="C70" s="18"/>
      <c r="D70" s="246"/>
      <c r="E70" s="240"/>
      <c r="F70" s="180"/>
      <c r="G70" s="240"/>
      <c r="H70" s="246"/>
      <c r="I70" s="240"/>
      <c r="J70" s="240"/>
      <c r="K70" s="240"/>
      <c r="M70" s="2"/>
      <c r="N70" s="2"/>
      <c r="P70" s="1"/>
      <c r="Q70" s="1"/>
      <c r="R70" s="1"/>
      <c r="S70" s="1"/>
    </row>
    <row r="71" spans="3:19" x14ac:dyDescent="0.2">
      <c r="C71" s="18"/>
      <c r="D71" s="246"/>
      <c r="E71" s="240"/>
      <c r="F71" s="182"/>
      <c r="G71" s="240"/>
      <c r="H71" s="241"/>
      <c r="I71" s="240"/>
      <c r="J71" s="240"/>
      <c r="K71" s="240"/>
      <c r="L71" s="142"/>
      <c r="M71" s="2"/>
      <c r="N71" s="2"/>
      <c r="P71" s="1"/>
      <c r="Q71" s="1"/>
      <c r="R71" s="1"/>
      <c r="S71" s="1"/>
    </row>
    <row r="72" spans="3:19" x14ac:dyDescent="0.2">
      <c r="C72" s="18"/>
      <c r="D72" s="247"/>
      <c r="E72" s="240"/>
      <c r="F72" s="180"/>
      <c r="G72" s="240"/>
      <c r="H72" s="246"/>
      <c r="I72" s="240"/>
      <c r="J72" s="240"/>
      <c r="K72" s="240"/>
      <c r="L72" s="142"/>
      <c r="M72" s="2"/>
      <c r="N72" s="2"/>
      <c r="P72" s="1"/>
      <c r="Q72" s="1"/>
      <c r="R72" s="1"/>
      <c r="S72" s="1"/>
    </row>
    <row r="73" spans="3:19" x14ac:dyDescent="0.2">
      <c r="C73" s="18"/>
      <c r="D73" s="246"/>
      <c r="E73" s="240"/>
      <c r="F73" s="181"/>
      <c r="G73" s="240"/>
      <c r="H73" s="180"/>
      <c r="I73" s="240"/>
      <c r="J73" s="240"/>
      <c r="K73" s="240"/>
      <c r="L73" s="141"/>
      <c r="M73" s="2"/>
      <c r="N73" s="2"/>
      <c r="P73" s="1"/>
      <c r="Q73" s="1"/>
      <c r="R73" s="1"/>
      <c r="S73" s="1"/>
    </row>
    <row r="74" spans="3:19" x14ac:dyDescent="0.2">
      <c r="C74" s="18"/>
      <c r="D74" s="240"/>
      <c r="E74" s="240"/>
      <c r="F74" s="180"/>
      <c r="G74" s="240"/>
      <c r="H74" s="246"/>
      <c r="I74" s="240"/>
      <c r="J74" s="240"/>
      <c r="K74" s="240"/>
      <c r="L74" s="141"/>
      <c r="M74" s="2"/>
      <c r="N74" s="2"/>
      <c r="P74" s="1"/>
      <c r="Q74" s="1"/>
      <c r="R74" s="1"/>
      <c r="S74" s="1"/>
    </row>
    <row r="75" spans="3:19" x14ac:dyDescent="0.2">
      <c r="C75" s="18"/>
      <c r="D75" s="240"/>
      <c r="E75" s="240"/>
      <c r="F75" s="180">
        <f>+F54-F31</f>
        <v>1.0000228881835937E-2</v>
      </c>
      <c r="G75" s="240"/>
      <c r="H75" s="180">
        <f>+H54-H31</f>
        <v>0.31999993324279785</v>
      </c>
      <c r="I75" s="240"/>
      <c r="J75" s="240"/>
      <c r="K75" s="240"/>
      <c r="L75" s="141"/>
      <c r="M75" s="2"/>
      <c r="N75" s="2"/>
      <c r="P75" s="1"/>
      <c r="Q75" s="1"/>
      <c r="R75" s="1"/>
      <c r="S75" s="1"/>
    </row>
    <row r="76" spans="3:19" x14ac:dyDescent="0.2">
      <c r="C76" s="18"/>
      <c r="D76" s="240"/>
      <c r="E76" s="240"/>
      <c r="F76" s="180"/>
      <c r="G76" s="240"/>
      <c r="H76" s="180"/>
      <c r="I76" s="240"/>
      <c r="J76" s="240"/>
      <c r="K76" s="240"/>
      <c r="L76" s="141"/>
      <c r="M76" s="2"/>
      <c r="N76" s="2"/>
      <c r="P76" s="1"/>
      <c r="Q76" s="1"/>
      <c r="R76" s="1"/>
      <c r="S76" s="1"/>
    </row>
    <row r="77" spans="3:19" x14ac:dyDescent="0.2">
      <c r="C77" s="18"/>
      <c r="D77" s="240"/>
      <c r="E77" s="240"/>
      <c r="F77" s="180"/>
      <c r="G77" s="240"/>
      <c r="H77" s="180"/>
      <c r="I77" s="240"/>
      <c r="J77" s="240"/>
      <c r="K77" s="240" t="s">
        <v>20</v>
      </c>
      <c r="L77" s="141"/>
      <c r="M77" s="2"/>
      <c r="N77" s="2"/>
      <c r="P77" s="1"/>
      <c r="Q77" s="1"/>
      <c r="R77" s="1"/>
      <c r="S77" s="1"/>
    </row>
    <row r="78" spans="3:19" s="2" customFormat="1" x14ac:dyDescent="0.2">
      <c r="C78" s="18"/>
      <c r="D78" s="240"/>
      <c r="E78" s="240"/>
      <c r="F78" s="180"/>
      <c r="G78" s="240"/>
      <c r="H78" s="180"/>
      <c r="I78" s="240"/>
      <c r="J78" s="240"/>
      <c r="K78" s="240"/>
      <c r="L78" s="5"/>
    </row>
    <row r="79" spans="3:19" customFormat="1" x14ac:dyDescent="0.2">
      <c r="C79" s="18"/>
      <c r="D79" s="240"/>
      <c r="E79" s="240"/>
      <c r="F79" s="180"/>
      <c r="G79" s="240"/>
      <c r="H79" s="182"/>
      <c r="I79" s="240"/>
      <c r="J79" s="240"/>
      <c r="K79" s="240"/>
      <c r="L79" s="5"/>
      <c r="M79" s="3"/>
      <c r="N79" s="3"/>
      <c r="O79" s="3"/>
    </row>
    <row r="80" spans="3:19" customFormat="1" ht="15" customHeight="1" x14ac:dyDescent="0.2">
      <c r="C80" s="18"/>
      <c r="D80" s="240"/>
      <c r="E80" s="240"/>
      <c r="F80" s="182"/>
      <c r="G80" s="240"/>
      <c r="H80" s="180"/>
      <c r="I80" s="240"/>
      <c r="J80" s="240"/>
      <c r="K80" s="240"/>
      <c r="L80" s="143"/>
      <c r="M80" s="3"/>
      <c r="N80" s="3"/>
      <c r="O80" s="3"/>
    </row>
    <row r="81" spans="3:12" s="2" customFormat="1" x14ac:dyDescent="0.2">
      <c r="C81" s="18"/>
      <c r="D81" s="240"/>
      <c r="E81" s="240"/>
      <c r="F81" s="180"/>
      <c r="G81" s="240"/>
      <c r="H81" s="246"/>
      <c r="I81" s="240"/>
      <c r="J81" s="240"/>
      <c r="K81" s="240"/>
      <c r="L81" s="5"/>
    </row>
    <row r="82" spans="3:12" s="2" customFormat="1" x14ac:dyDescent="0.2">
      <c r="C82" s="18"/>
      <c r="D82" s="240"/>
      <c r="E82" s="240"/>
      <c r="F82" s="181"/>
      <c r="G82" s="240"/>
      <c r="H82" s="248"/>
      <c r="I82" s="240"/>
      <c r="J82" s="240"/>
      <c r="K82" s="240"/>
      <c r="L82" s="5"/>
    </row>
    <row r="83" spans="3:12" s="2" customFormat="1" x14ac:dyDescent="0.2">
      <c r="C83" s="18"/>
      <c r="D83" s="240"/>
      <c r="E83" s="240"/>
      <c r="F83" s="180"/>
      <c r="G83" s="240"/>
      <c r="H83" s="248"/>
      <c r="I83" s="240"/>
      <c r="J83" s="240"/>
      <c r="K83" s="240"/>
      <c r="L83" s="5"/>
    </row>
    <row r="84" spans="3:12" s="2" customFormat="1" x14ac:dyDescent="0.2">
      <c r="C84" s="18"/>
      <c r="D84" s="240"/>
      <c r="E84" s="240"/>
      <c r="F84" s="180"/>
      <c r="G84" s="240"/>
      <c r="H84" s="240"/>
      <c r="I84" s="240"/>
      <c r="J84" s="240"/>
      <c r="K84" s="240"/>
      <c r="L84" s="5"/>
    </row>
    <row r="85" spans="3:12" x14ac:dyDescent="0.2">
      <c r="C85" s="18"/>
      <c r="D85" s="240"/>
      <c r="E85" s="240"/>
      <c r="F85" s="180"/>
      <c r="G85" s="240"/>
      <c r="H85" s="240"/>
      <c r="I85" s="240"/>
      <c r="J85" s="240"/>
      <c r="K85" s="240"/>
    </row>
    <row r="86" spans="3:12" x14ac:dyDescent="0.2">
      <c r="C86" s="18"/>
      <c r="D86" s="240"/>
      <c r="E86" s="240"/>
      <c r="F86" s="246"/>
      <c r="G86" s="240"/>
      <c r="H86" s="240"/>
      <c r="I86" s="240"/>
      <c r="J86" s="240"/>
      <c r="K86" s="240"/>
    </row>
    <row r="87" spans="3:12" x14ac:dyDescent="0.2">
      <c r="C87" s="18"/>
      <c r="D87" s="240"/>
      <c r="E87" s="240"/>
      <c r="F87" s="246"/>
      <c r="G87" s="240"/>
      <c r="H87" s="240"/>
      <c r="I87" s="240"/>
      <c r="J87" s="240"/>
      <c r="K87" s="240"/>
    </row>
    <row r="88" spans="3:12" x14ac:dyDescent="0.2">
      <c r="C88" s="18"/>
      <c r="D88" s="240"/>
      <c r="E88" s="240"/>
      <c r="F88" s="240"/>
      <c r="G88" s="240"/>
      <c r="H88" s="240"/>
      <c r="I88" s="240"/>
      <c r="J88" s="240"/>
      <c r="K88" s="240"/>
    </row>
    <row r="89" spans="3:12" x14ac:dyDescent="0.2">
      <c r="C89" s="18"/>
      <c r="D89" s="240"/>
      <c r="E89" s="240"/>
      <c r="F89" s="240"/>
      <c r="G89" s="240"/>
      <c r="H89" s="240"/>
      <c r="I89" s="240"/>
      <c r="J89" s="240"/>
      <c r="K89" s="240"/>
    </row>
    <row r="90" spans="3:12" x14ac:dyDescent="0.2">
      <c r="C90" s="18"/>
      <c r="D90" s="240"/>
      <c r="E90" s="240"/>
      <c r="F90" s="240"/>
      <c r="G90" s="240"/>
      <c r="H90" s="240"/>
      <c r="I90" s="240"/>
      <c r="J90" s="240"/>
      <c r="K90" s="240"/>
    </row>
    <row r="91" spans="3:12" x14ac:dyDescent="0.2">
      <c r="C91" s="18"/>
      <c r="D91" s="18"/>
      <c r="E91" s="18"/>
      <c r="F91" s="18"/>
      <c r="G91" s="18"/>
      <c r="H91" s="18"/>
      <c r="I91" s="18"/>
      <c r="J91" s="18"/>
      <c r="K91" s="18"/>
    </row>
    <row r="92" spans="3:12" x14ac:dyDescent="0.2">
      <c r="C92" s="18"/>
      <c r="D92" s="18"/>
      <c r="E92" s="18"/>
      <c r="F92" s="18"/>
      <c r="G92" s="18"/>
      <c r="H92" s="18"/>
      <c r="I92" s="18"/>
      <c r="J92" s="18"/>
      <c r="K92" s="18"/>
    </row>
    <row r="93" spans="3:12" x14ac:dyDescent="0.2">
      <c r="C93" s="18"/>
      <c r="D93" s="18"/>
      <c r="E93" s="18"/>
      <c r="F93" s="18"/>
      <c r="G93" s="18"/>
      <c r="H93" s="18"/>
      <c r="I93" s="18"/>
      <c r="J93" s="18"/>
      <c r="K93" s="18"/>
    </row>
    <row r="94" spans="3:12" x14ac:dyDescent="0.2">
      <c r="C94" s="18"/>
      <c r="D94" s="18"/>
      <c r="E94" s="18"/>
      <c r="F94" s="18"/>
      <c r="G94" s="18"/>
      <c r="H94" s="18"/>
      <c r="I94" s="18"/>
      <c r="J94" s="18"/>
      <c r="K94" s="18"/>
    </row>
    <row r="95" spans="3:12" x14ac:dyDescent="0.2">
      <c r="C95" s="18"/>
      <c r="D95" s="18"/>
      <c r="E95" s="18"/>
      <c r="F95" s="18"/>
      <c r="G95" s="18"/>
      <c r="H95" s="18"/>
      <c r="I95" s="18"/>
      <c r="J95" s="18"/>
      <c r="K95" s="18"/>
    </row>
    <row r="96" spans="3:12" x14ac:dyDescent="0.2">
      <c r="C96" s="18"/>
      <c r="D96" s="18"/>
      <c r="E96" s="18"/>
      <c r="F96" s="18"/>
      <c r="G96" s="18"/>
      <c r="H96" s="18"/>
      <c r="I96" s="18"/>
      <c r="J96" s="18"/>
      <c r="K96" s="18"/>
    </row>
    <row r="97" spans="3:11" x14ac:dyDescent="0.2">
      <c r="C97" s="18"/>
      <c r="D97" s="18"/>
      <c r="E97" s="18"/>
      <c r="F97" s="18"/>
      <c r="G97" s="18"/>
      <c r="H97" s="18"/>
      <c r="I97" s="18"/>
      <c r="J97" s="18"/>
      <c r="K97" s="18"/>
    </row>
    <row r="98" spans="3:11" x14ac:dyDescent="0.2">
      <c r="C98" s="18"/>
      <c r="D98" s="18"/>
      <c r="E98" s="18"/>
      <c r="F98" s="18"/>
      <c r="G98" s="18"/>
      <c r="H98" s="18"/>
      <c r="I98" s="18"/>
      <c r="J98" s="18"/>
      <c r="K98" s="18"/>
    </row>
    <row r="99" spans="3:11" x14ac:dyDescent="0.2">
      <c r="C99" s="18"/>
      <c r="D99" s="18"/>
      <c r="E99" s="18"/>
      <c r="F99" s="18"/>
      <c r="G99" s="18"/>
      <c r="H99" s="18"/>
      <c r="I99" s="18"/>
      <c r="J99" s="18"/>
      <c r="K99" s="18"/>
    </row>
    <row r="100" spans="3:11" x14ac:dyDescent="0.2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x14ac:dyDescent="0.2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x14ac:dyDescent="0.2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x14ac:dyDescent="0.2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x14ac:dyDescent="0.2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x14ac:dyDescent="0.2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x14ac:dyDescent="0.2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x14ac:dyDescent="0.2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x14ac:dyDescent="0.2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x14ac:dyDescent="0.2"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3:11" x14ac:dyDescent="0.2"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3:11" x14ac:dyDescent="0.2"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3:11" x14ac:dyDescent="0.2"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3:11" x14ac:dyDescent="0.2"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3:11" x14ac:dyDescent="0.2"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3:11" x14ac:dyDescent="0.2"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3:11" x14ac:dyDescent="0.2"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3:11" x14ac:dyDescent="0.2"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3:11" x14ac:dyDescent="0.2"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3:11" x14ac:dyDescent="0.2"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3:11" x14ac:dyDescent="0.2"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3:11" x14ac:dyDescent="0.2"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3:11" x14ac:dyDescent="0.2"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3:11" x14ac:dyDescent="0.2"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3:11" x14ac:dyDescent="0.2"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3:11" x14ac:dyDescent="0.2"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3:11" x14ac:dyDescent="0.2"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3:11" x14ac:dyDescent="0.2"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3:11" x14ac:dyDescent="0.2"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3:11" x14ac:dyDescent="0.2"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3:11" x14ac:dyDescent="0.2"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3:11" x14ac:dyDescent="0.2"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3:11" x14ac:dyDescent="0.2"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3:11" x14ac:dyDescent="0.2"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3:11" x14ac:dyDescent="0.2"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3:11" x14ac:dyDescent="0.2"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3:11" x14ac:dyDescent="0.2"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3:11" x14ac:dyDescent="0.2"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3:11" x14ac:dyDescent="0.2"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3:11" x14ac:dyDescent="0.2"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3:11" x14ac:dyDescent="0.2"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3:11" x14ac:dyDescent="0.2"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3:11" x14ac:dyDescent="0.2"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3:11" x14ac:dyDescent="0.2"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3:11" x14ac:dyDescent="0.2"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3:11" x14ac:dyDescent="0.2"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3:11" x14ac:dyDescent="0.2"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3:11" x14ac:dyDescent="0.2"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3:11" x14ac:dyDescent="0.2"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3:11" x14ac:dyDescent="0.2"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3:11" x14ac:dyDescent="0.2"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3:11" x14ac:dyDescent="0.2"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3:11" x14ac:dyDescent="0.2"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3:11" x14ac:dyDescent="0.2"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3:11" x14ac:dyDescent="0.2"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3:11" x14ac:dyDescent="0.2"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3:11" x14ac:dyDescent="0.2"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3:11" x14ac:dyDescent="0.2"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3:11" x14ac:dyDescent="0.2"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3:11" x14ac:dyDescent="0.2"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3:11" x14ac:dyDescent="0.2"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3:11" x14ac:dyDescent="0.2"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3:11" x14ac:dyDescent="0.2"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3:11" x14ac:dyDescent="0.2"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3:11" x14ac:dyDescent="0.2"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3:11" x14ac:dyDescent="0.2">
      <c r="C165" s="18"/>
      <c r="D165" s="18"/>
      <c r="E165" s="18"/>
      <c r="F165" s="18"/>
      <c r="G165" s="18"/>
      <c r="H165" s="18"/>
      <c r="I165" s="18"/>
      <c r="J165" s="18"/>
      <c r="K165" s="18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0"/>
  <sheetViews>
    <sheetView zoomScale="110" zoomScaleNormal="110" zoomScaleSheetLayoutView="75" workbookViewId="0">
      <selection activeCell="M19" sqref="M19"/>
    </sheetView>
  </sheetViews>
  <sheetFormatPr baseColWidth="10" defaultRowHeight="14.25" x14ac:dyDescent="0.2"/>
  <cols>
    <col min="1" max="1" width="3.85546875" style="14" customWidth="1"/>
    <col min="2" max="2" width="3.42578125" style="14" customWidth="1"/>
    <col min="3" max="3" width="5.140625" style="14" customWidth="1"/>
    <col min="4" max="4" width="18.28515625" style="14" customWidth="1"/>
    <col min="5" max="5" width="28.7109375" style="14" customWidth="1"/>
    <col min="6" max="6" width="20.140625" style="14" customWidth="1"/>
    <col min="7" max="7" width="19.85546875" style="14" customWidth="1"/>
    <col min="8" max="8" width="24.28515625" style="14" customWidth="1"/>
    <col min="9" max="9" width="20.140625" style="14" customWidth="1"/>
    <col min="10" max="10" width="16" style="14" customWidth="1"/>
    <col min="11" max="11" width="4" style="12" customWidth="1"/>
    <col min="12" max="16384" width="11.42578125" style="14"/>
  </cols>
  <sheetData>
    <row r="1" spans="2:11" ht="15" thickBot="1" x14ac:dyDescent="0.25"/>
    <row r="2" spans="2:11" ht="15" thickTop="1" x14ac:dyDescent="0.2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11" x14ac:dyDescent="0.2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11" x14ac:dyDescent="0.2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11" x14ac:dyDescent="0.2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11" x14ac:dyDescent="0.2">
      <c r="B6" s="29"/>
      <c r="C6" s="384"/>
      <c r="D6" s="384"/>
      <c r="E6" s="384"/>
      <c r="F6" s="384"/>
      <c r="G6" s="384"/>
      <c r="H6" s="384"/>
      <c r="I6" s="384"/>
      <c r="J6" s="385"/>
      <c r="K6" s="28"/>
    </row>
    <row r="7" spans="2:11" x14ac:dyDescent="0.2">
      <c r="B7" s="29"/>
      <c r="C7" s="384" t="s">
        <v>98</v>
      </c>
      <c r="D7" s="384"/>
      <c r="E7" s="384"/>
      <c r="F7" s="384"/>
      <c r="G7" s="384"/>
      <c r="H7" s="384"/>
      <c r="I7" s="384"/>
      <c r="J7" s="385"/>
      <c r="K7" s="28"/>
    </row>
    <row r="8" spans="2:11" x14ac:dyDescent="0.2">
      <c r="B8" s="29"/>
      <c r="C8" s="384" t="str">
        <f>+RESULTADOS!B8</f>
        <v>DEL 01 DE ENERO AL 31 DE MARZO 2021</v>
      </c>
      <c r="D8" s="384"/>
      <c r="E8" s="384"/>
      <c r="F8" s="384"/>
      <c r="G8" s="384"/>
      <c r="H8" s="384"/>
      <c r="I8" s="384"/>
      <c r="J8" s="385"/>
      <c r="K8" s="28"/>
    </row>
    <row r="9" spans="2:11" x14ac:dyDescent="0.2">
      <c r="B9" s="29"/>
      <c r="C9" s="384" t="str">
        <f>+'SITUACION '!C8:K8</f>
        <v>(Valores en RD$)</v>
      </c>
      <c r="D9" s="384"/>
      <c r="E9" s="384"/>
      <c r="F9" s="384"/>
      <c r="G9" s="384"/>
      <c r="H9" s="384"/>
      <c r="I9" s="384"/>
      <c r="J9" s="385"/>
      <c r="K9" s="28"/>
    </row>
    <row r="10" spans="2:11" x14ac:dyDescent="0.2">
      <c r="B10" s="29"/>
      <c r="C10" s="30"/>
      <c r="D10" s="30"/>
      <c r="E10" s="30"/>
      <c r="F10" s="30"/>
      <c r="G10" s="30"/>
      <c r="H10" s="30"/>
      <c r="I10" s="30"/>
      <c r="J10" s="31"/>
      <c r="K10" s="28"/>
    </row>
    <row r="11" spans="2:11" ht="15" thickBot="1" x14ac:dyDescent="0.25">
      <c r="B11" s="32"/>
      <c r="C11" s="33"/>
      <c r="D11" s="33"/>
      <c r="E11" s="33"/>
      <c r="F11" s="33"/>
      <c r="G11" s="33"/>
      <c r="H11" s="33"/>
      <c r="I11" s="33"/>
      <c r="J11" s="34"/>
      <c r="K11" s="28"/>
    </row>
    <row r="12" spans="2:11" x14ac:dyDescent="0.2">
      <c r="B12" s="69"/>
      <c r="C12" s="70"/>
      <c r="D12" s="71"/>
      <c r="E12" s="71"/>
      <c r="F12" s="71"/>
      <c r="G12" s="71"/>
      <c r="H12" s="71"/>
      <c r="I12" s="71"/>
      <c r="J12" s="72"/>
      <c r="K12" s="28"/>
    </row>
    <row r="13" spans="2:11" x14ac:dyDescent="0.2">
      <c r="B13" s="73"/>
      <c r="C13" s="74" t="s">
        <v>116</v>
      </c>
      <c r="D13" s="75" t="s">
        <v>5</v>
      </c>
      <c r="E13" s="75"/>
      <c r="F13" s="76"/>
      <c r="G13" s="77"/>
      <c r="H13" s="77"/>
      <c r="I13" s="77"/>
      <c r="J13" s="78"/>
      <c r="K13" s="28"/>
    </row>
    <row r="14" spans="2:11" x14ac:dyDescent="0.2">
      <c r="B14" s="73"/>
      <c r="C14" s="74"/>
      <c r="D14" s="75"/>
      <c r="E14" s="75"/>
      <c r="F14" s="76"/>
      <c r="G14" s="77"/>
      <c r="H14" s="77"/>
      <c r="I14" s="77"/>
      <c r="J14" s="78"/>
      <c r="K14" s="28"/>
    </row>
    <row r="15" spans="2:11" x14ac:dyDescent="0.2">
      <c r="B15" s="73"/>
      <c r="C15" s="79"/>
      <c r="D15" s="77" t="s">
        <v>276</v>
      </c>
      <c r="E15" s="77"/>
      <c r="F15" s="77"/>
      <c r="G15" s="77"/>
      <c r="H15" s="77"/>
      <c r="I15" s="77"/>
      <c r="J15" s="78"/>
      <c r="K15" s="28"/>
    </row>
    <row r="16" spans="2:11" x14ac:dyDescent="0.2">
      <c r="B16" s="73"/>
      <c r="C16" s="79"/>
      <c r="D16" s="77" t="s">
        <v>106</v>
      </c>
      <c r="E16" s="77"/>
      <c r="F16" s="77"/>
      <c r="G16" s="77"/>
      <c r="H16" s="77"/>
      <c r="I16" s="77"/>
      <c r="J16" s="78"/>
      <c r="K16" s="28"/>
    </row>
    <row r="17" spans="2:11" x14ac:dyDescent="0.2">
      <c r="B17" s="73"/>
      <c r="C17" s="79"/>
      <c r="D17" s="77" t="s">
        <v>103</v>
      </c>
      <c r="E17" s="77"/>
      <c r="F17" s="77"/>
      <c r="G17" s="77"/>
      <c r="H17" s="77"/>
      <c r="I17" s="77"/>
      <c r="J17" s="78"/>
      <c r="K17" s="28"/>
    </row>
    <row r="18" spans="2:11" x14ac:dyDescent="0.2">
      <c r="B18" s="73"/>
      <c r="C18" s="79"/>
      <c r="D18" s="77"/>
      <c r="E18" s="77"/>
      <c r="F18" s="77"/>
      <c r="G18" s="77"/>
      <c r="H18" s="77"/>
      <c r="I18" s="77"/>
      <c r="J18" s="78"/>
      <c r="K18" s="28"/>
    </row>
    <row r="19" spans="2:11" ht="13.15" customHeight="1" x14ac:dyDescent="0.2">
      <c r="B19" s="73"/>
      <c r="C19" s="80"/>
      <c r="D19" s="81" t="s">
        <v>71</v>
      </c>
      <c r="E19" s="81"/>
      <c r="F19" s="77"/>
      <c r="G19" s="77"/>
      <c r="H19" s="61"/>
      <c r="I19" s="77"/>
      <c r="J19" s="78"/>
      <c r="K19" s="28"/>
    </row>
    <row r="20" spans="2:11" hidden="1" x14ac:dyDescent="0.2">
      <c r="B20" s="73"/>
      <c r="C20" s="80"/>
      <c r="D20" s="77" t="s">
        <v>70</v>
      </c>
      <c r="E20" s="81"/>
      <c r="F20" s="77"/>
      <c r="G20" s="61">
        <v>0</v>
      </c>
      <c r="H20" s="61"/>
      <c r="I20" s="77"/>
      <c r="J20" s="78"/>
      <c r="K20" s="28"/>
    </row>
    <row r="21" spans="2:11" x14ac:dyDescent="0.2">
      <c r="B21" s="73"/>
      <c r="C21" s="80"/>
      <c r="D21" s="77" t="s">
        <v>140</v>
      </c>
      <c r="E21" s="77"/>
      <c r="F21" s="77"/>
      <c r="G21" s="61">
        <v>100000</v>
      </c>
      <c r="H21" s="61"/>
      <c r="I21" s="77"/>
      <c r="J21" s="78"/>
      <c r="K21" s="28"/>
    </row>
    <row r="22" spans="2:11" x14ac:dyDescent="0.2">
      <c r="B22" s="73"/>
      <c r="C22" s="80"/>
      <c r="D22" s="77" t="s">
        <v>163</v>
      </c>
      <c r="E22" s="67"/>
      <c r="F22" s="77"/>
      <c r="G22" s="66">
        <v>50000</v>
      </c>
      <c r="H22" s="66">
        <f>SUM(G20:G22)</f>
        <v>150000</v>
      </c>
      <c r="I22" s="77"/>
      <c r="J22" s="78"/>
      <c r="K22" s="28"/>
    </row>
    <row r="23" spans="2:11" x14ac:dyDescent="0.2">
      <c r="B23" s="73"/>
      <c r="C23" s="80"/>
      <c r="D23" s="68"/>
      <c r="E23" s="68"/>
      <c r="F23" s="68"/>
      <c r="G23" s="68"/>
      <c r="H23" s="61"/>
      <c r="I23" s="77"/>
      <c r="J23" s="78"/>
      <c r="K23" s="28"/>
    </row>
    <row r="24" spans="2:11" x14ac:dyDescent="0.2">
      <c r="B24" s="73"/>
      <c r="C24" s="80"/>
      <c r="D24" s="81" t="s">
        <v>100</v>
      </c>
      <c r="E24" s="81"/>
      <c r="F24" s="61"/>
      <c r="G24" s="67"/>
      <c r="H24" s="61"/>
      <c r="I24" s="77"/>
      <c r="J24" s="78"/>
      <c r="K24" s="28"/>
    </row>
    <row r="25" spans="2:11" x14ac:dyDescent="0.2">
      <c r="B25" s="73"/>
      <c r="C25" s="80"/>
      <c r="D25" s="77" t="s">
        <v>101</v>
      </c>
      <c r="E25" s="77"/>
      <c r="F25" s="77"/>
      <c r="G25" s="127">
        <v>75228396</v>
      </c>
      <c r="H25" s="68"/>
      <c r="I25" s="68"/>
      <c r="J25" s="78"/>
      <c r="K25" s="28"/>
    </row>
    <row r="26" spans="2:11" x14ac:dyDescent="0.2">
      <c r="B26" s="73"/>
      <c r="C26" s="80"/>
      <c r="D26" s="77" t="s">
        <v>102</v>
      </c>
      <c r="E26" s="77"/>
      <c r="F26" s="67"/>
      <c r="G26" s="61">
        <v>413827.07</v>
      </c>
      <c r="H26" s="68"/>
      <c r="I26" s="68"/>
      <c r="J26" s="78"/>
      <c r="K26" s="28"/>
    </row>
    <row r="27" spans="2:11" x14ac:dyDescent="0.2">
      <c r="B27" s="73"/>
      <c r="C27" s="80"/>
      <c r="D27" s="77" t="s">
        <v>111</v>
      </c>
      <c r="E27" s="68"/>
      <c r="F27" s="68"/>
      <c r="G27" s="61">
        <v>293445.06</v>
      </c>
      <c r="H27" s="61"/>
      <c r="I27" s="77"/>
      <c r="J27" s="78"/>
      <c r="K27" s="28"/>
    </row>
    <row r="28" spans="2:11" x14ac:dyDescent="0.2">
      <c r="B28" s="73"/>
      <c r="C28" s="80"/>
      <c r="D28" s="77" t="s">
        <v>112</v>
      </c>
      <c r="E28" s="77"/>
      <c r="F28" s="68"/>
      <c r="G28" s="66">
        <v>179226</v>
      </c>
      <c r="H28" s="66">
        <f>SUM(G25:G28)</f>
        <v>76114894.129999995</v>
      </c>
      <c r="I28" s="77"/>
      <c r="J28" s="78"/>
      <c r="K28" s="28"/>
    </row>
    <row r="29" spans="2:11" x14ac:dyDescent="0.2">
      <c r="B29" s="73"/>
      <c r="C29" s="80"/>
      <c r="D29" s="77"/>
      <c r="E29" s="77"/>
      <c r="F29" s="68"/>
      <c r="G29" s="61"/>
      <c r="H29" s="61"/>
      <c r="I29" s="77"/>
      <c r="J29" s="78"/>
      <c r="K29" s="28"/>
    </row>
    <row r="30" spans="2:11" ht="15" thickBot="1" x14ac:dyDescent="0.25">
      <c r="B30" s="73"/>
      <c r="C30" s="80"/>
      <c r="D30" s="77"/>
      <c r="E30" s="77"/>
      <c r="F30" s="68"/>
      <c r="G30" s="61"/>
      <c r="H30" s="82">
        <f>+H28+H22-1</f>
        <v>76264893.129999995</v>
      </c>
      <c r="I30" s="77"/>
      <c r="J30" s="78"/>
      <c r="K30" s="28"/>
    </row>
    <row r="31" spans="2:11" ht="15" thickTop="1" x14ac:dyDescent="0.2">
      <c r="B31" s="73"/>
      <c r="C31" s="80"/>
      <c r="D31" s="77"/>
      <c r="E31" s="77"/>
      <c r="F31" s="68"/>
      <c r="G31" s="61"/>
      <c r="H31" s="61"/>
      <c r="I31" s="77"/>
      <c r="J31" s="78"/>
      <c r="K31" s="28"/>
    </row>
    <row r="32" spans="2:11" x14ac:dyDescent="0.2">
      <c r="B32" s="73"/>
      <c r="C32" s="80"/>
      <c r="D32" s="77" t="s">
        <v>154</v>
      </c>
      <c r="E32" s="77"/>
      <c r="F32" s="77"/>
      <c r="G32" s="61">
        <v>3045843.87</v>
      </c>
      <c r="H32" s="61"/>
      <c r="I32" s="61"/>
      <c r="J32" s="78"/>
      <c r="K32" s="28"/>
    </row>
    <row r="33" spans="2:11" x14ac:dyDescent="0.2">
      <c r="B33" s="73"/>
      <c r="C33" s="80"/>
      <c r="D33" s="77" t="s">
        <v>59</v>
      </c>
      <c r="E33" s="77"/>
      <c r="F33" s="77"/>
      <c r="G33" s="61">
        <v>201998136</v>
      </c>
      <c r="I33" s="61"/>
      <c r="J33" s="78"/>
      <c r="K33" s="28"/>
    </row>
    <row r="34" spans="2:11" x14ac:dyDescent="0.2">
      <c r="B34" s="73"/>
      <c r="C34" s="80"/>
      <c r="D34" s="77" t="s">
        <v>138</v>
      </c>
      <c r="E34" s="77"/>
      <c r="F34" s="77"/>
      <c r="G34" s="61">
        <v>11527495.68</v>
      </c>
      <c r="H34" s="61"/>
      <c r="I34" s="61"/>
      <c r="J34" s="78"/>
      <c r="K34" s="28"/>
    </row>
    <row r="35" spans="2:11" x14ac:dyDescent="0.2">
      <c r="B35" s="73"/>
      <c r="C35" s="80"/>
      <c r="D35" s="77" t="s">
        <v>137</v>
      </c>
      <c r="F35" s="77"/>
      <c r="G35" s="61">
        <v>217832</v>
      </c>
      <c r="H35" s="61"/>
      <c r="I35" s="61"/>
      <c r="J35" s="78"/>
      <c r="K35" s="28"/>
    </row>
    <row r="36" spans="2:11" x14ac:dyDescent="0.2">
      <c r="B36" s="73"/>
      <c r="C36" s="80"/>
      <c r="D36" s="77" t="s">
        <v>68</v>
      </c>
      <c r="E36" s="68"/>
      <c r="F36" s="77"/>
      <c r="G36" s="66">
        <v>4564484.3499999996</v>
      </c>
      <c r="H36" s="66">
        <f>SUM(G32:G36)</f>
        <v>221353791.90000001</v>
      </c>
      <c r="I36" s="61"/>
      <c r="J36" s="78"/>
      <c r="K36" s="28"/>
    </row>
    <row r="37" spans="2:11" hidden="1" x14ac:dyDescent="0.2">
      <c r="B37" s="73"/>
      <c r="C37" s="80"/>
      <c r="D37" s="77" t="s">
        <v>67</v>
      </c>
      <c r="E37" s="68"/>
      <c r="F37" s="77"/>
      <c r="G37" s="66">
        <v>0</v>
      </c>
      <c r="H37" s="66">
        <v>0</v>
      </c>
      <c r="I37" s="61"/>
      <c r="J37" s="78"/>
      <c r="K37" s="28"/>
    </row>
    <row r="38" spans="2:11" x14ac:dyDescent="0.2">
      <c r="B38" s="73"/>
      <c r="C38" s="80"/>
      <c r="E38" s="68"/>
      <c r="F38" s="77"/>
      <c r="G38" s="61"/>
      <c r="H38" s="61"/>
      <c r="I38" s="61"/>
      <c r="J38" s="78"/>
      <c r="K38" s="28"/>
    </row>
    <row r="39" spans="2:11" x14ac:dyDescent="0.2">
      <c r="B39" s="73"/>
      <c r="C39" s="80"/>
      <c r="D39" s="81" t="s">
        <v>141</v>
      </c>
      <c r="E39" s="81"/>
      <c r="F39" s="68"/>
      <c r="G39" s="61"/>
      <c r="H39" s="61"/>
      <c r="I39" s="61"/>
      <c r="J39" s="78"/>
      <c r="K39" s="28"/>
    </row>
    <row r="40" spans="2:11" hidden="1" x14ac:dyDescent="0.2">
      <c r="B40" s="73"/>
      <c r="C40" s="80"/>
      <c r="D40" s="68" t="s">
        <v>143</v>
      </c>
      <c r="E40" s="68"/>
      <c r="F40" s="68"/>
      <c r="G40" s="61">
        <v>0</v>
      </c>
      <c r="H40" s="61"/>
      <c r="I40" s="61"/>
      <c r="J40" s="78"/>
      <c r="K40" s="28"/>
    </row>
    <row r="41" spans="2:11" x14ac:dyDescent="0.2">
      <c r="B41" s="73"/>
      <c r="C41" s="80"/>
      <c r="D41" s="67" t="s">
        <v>153</v>
      </c>
      <c r="E41" s="68"/>
      <c r="F41" s="68"/>
      <c r="G41" s="61">
        <v>74872.740000000005</v>
      </c>
      <c r="H41" s="61"/>
      <c r="I41" s="67"/>
      <c r="J41" s="78"/>
      <c r="K41" s="28"/>
    </row>
    <row r="42" spans="2:11" x14ac:dyDescent="0.2">
      <c r="B42" s="73"/>
      <c r="C42" s="80"/>
      <c r="D42" s="68" t="s">
        <v>142</v>
      </c>
      <c r="E42" s="67"/>
      <c r="F42" s="68"/>
      <c r="G42" s="66">
        <v>159737.55000000101</v>
      </c>
      <c r="H42" s="66">
        <f>SUM(G41:G42)</f>
        <v>234610.29000000103</v>
      </c>
      <c r="I42" s="67"/>
      <c r="J42" s="78"/>
      <c r="K42" s="28"/>
    </row>
    <row r="43" spans="2:11" x14ac:dyDescent="0.2">
      <c r="B43" s="73"/>
      <c r="C43" s="80"/>
      <c r="E43" s="68"/>
      <c r="F43" s="68"/>
      <c r="G43" s="61" t="s">
        <v>144</v>
      </c>
      <c r="H43" s="61"/>
      <c r="I43" s="67"/>
      <c r="J43" s="78"/>
      <c r="K43" s="28"/>
    </row>
    <row r="44" spans="2:11" ht="15" thickBot="1" x14ac:dyDescent="0.25">
      <c r="B44" s="73"/>
      <c r="C44" s="79"/>
      <c r="D44" s="77"/>
      <c r="E44" s="77"/>
      <c r="F44" s="77"/>
      <c r="G44" s="77"/>
      <c r="H44" s="82">
        <f>+H42+H36</f>
        <v>221588402.19</v>
      </c>
      <c r="I44" s="67"/>
      <c r="J44" s="78"/>
      <c r="K44" s="28"/>
    </row>
    <row r="45" spans="2:11" ht="15" thickTop="1" x14ac:dyDescent="0.2">
      <c r="B45" s="73"/>
      <c r="C45" s="79"/>
      <c r="D45" s="77"/>
      <c r="E45" s="77"/>
      <c r="F45" s="77"/>
      <c r="G45" s="77"/>
      <c r="H45" s="58"/>
      <c r="I45" s="67"/>
      <c r="J45" s="78"/>
      <c r="K45" s="28"/>
    </row>
    <row r="46" spans="2:11" x14ac:dyDescent="0.2">
      <c r="B46" s="73"/>
      <c r="C46" s="74" t="s">
        <v>179</v>
      </c>
      <c r="D46" s="75" t="s">
        <v>126</v>
      </c>
      <c r="E46" s="75"/>
      <c r="F46" s="77"/>
      <c r="G46" s="77"/>
      <c r="H46" s="58"/>
      <c r="I46" s="67"/>
      <c r="J46" s="78"/>
      <c r="K46" s="28"/>
    </row>
    <row r="47" spans="2:11" ht="10.5" customHeight="1" x14ac:dyDescent="0.2">
      <c r="B47" s="73"/>
      <c r="C47" s="74"/>
      <c r="D47" s="75"/>
      <c r="E47" s="75"/>
      <c r="F47" s="77"/>
      <c r="G47" s="61"/>
      <c r="H47" s="83"/>
      <c r="I47" s="67"/>
      <c r="J47" s="78"/>
      <c r="K47" s="28"/>
    </row>
    <row r="48" spans="2:11" x14ac:dyDescent="0.2">
      <c r="B48" s="73"/>
      <c r="C48" s="74"/>
      <c r="D48" s="77" t="s">
        <v>119</v>
      </c>
      <c r="E48" s="77"/>
      <c r="F48" s="77"/>
      <c r="G48" s="61"/>
      <c r="H48" s="66">
        <v>2797749.18</v>
      </c>
      <c r="I48" s="67"/>
      <c r="J48" s="78"/>
      <c r="K48" s="28"/>
    </row>
    <row r="49" spans="2:11" hidden="1" x14ac:dyDescent="0.2">
      <c r="B49" s="73"/>
      <c r="C49" s="74"/>
      <c r="D49" s="77" t="s">
        <v>10</v>
      </c>
      <c r="E49" s="77"/>
      <c r="F49" s="77"/>
      <c r="G49" s="61"/>
      <c r="H49" s="66">
        <v>0</v>
      </c>
      <c r="I49" s="67"/>
      <c r="J49" s="78"/>
      <c r="K49" s="28"/>
    </row>
    <row r="50" spans="2:11" ht="15" thickBot="1" x14ac:dyDescent="0.25">
      <c r="B50" s="73"/>
      <c r="C50" s="74"/>
      <c r="D50" s="77"/>
      <c r="E50" s="77"/>
      <c r="F50" s="77"/>
      <c r="G50" s="61"/>
      <c r="H50" s="82">
        <f>SUM(H48:H49)</f>
        <v>2797749.18</v>
      </c>
      <c r="I50" s="61"/>
      <c r="J50" s="78"/>
      <c r="K50" s="28"/>
    </row>
    <row r="51" spans="2:11" ht="14.25" customHeight="1" thickTop="1" x14ac:dyDescent="0.2">
      <c r="B51" s="73"/>
      <c r="C51" s="74" t="s">
        <v>180</v>
      </c>
      <c r="D51" s="75" t="s">
        <v>120</v>
      </c>
      <c r="E51" s="75"/>
      <c r="F51" s="77"/>
      <c r="G51" s="77"/>
      <c r="H51" s="58"/>
      <c r="I51" s="77"/>
      <c r="J51" s="78"/>
      <c r="K51" s="28"/>
    </row>
    <row r="52" spans="2:11" ht="13.5" customHeight="1" x14ac:dyDescent="0.2">
      <c r="B52" s="73"/>
      <c r="C52" s="79"/>
      <c r="D52" s="77"/>
      <c r="E52" s="77"/>
      <c r="F52" s="77"/>
      <c r="G52" s="77"/>
      <c r="H52" s="58"/>
      <c r="I52" s="61"/>
      <c r="J52" s="78"/>
      <c r="K52" s="28"/>
    </row>
    <row r="53" spans="2:11" hidden="1" x14ac:dyDescent="0.2">
      <c r="B53" s="73"/>
      <c r="C53" s="79"/>
      <c r="D53" s="77" t="s">
        <v>122</v>
      </c>
      <c r="E53" s="77"/>
      <c r="F53" s="77"/>
      <c r="G53" s="77"/>
      <c r="H53" s="84"/>
      <c r="I53" s="77"/>
      <c r="J53" s="78"/>
      <c r="K53" s="28"/>
    </row>
    <row r="54" spans="2:11" hidden="1" x14ac:dyDescent="0.2">
      <c r="B54" s="73"/>
      <c r="C54" s="79"/>
      <c r="D54" s="77" t="s">
        <v>146</v>
      </c>
      <c r="E54" s="77"/>
      <c r="F54" s="77"/>
      <c r="G54" s="77"/>
      <c r="H54" s="84">
        <v>0</v>
      </c>
      <c r="I54" s="77"/>
      <c r="J54" s="78"/>
      <c r="K54" s="28"/>
    </row>
    <row r="55" spans="2:11" x14ac:dyDescent="0.2">
      <c r="B55" s="73"/>
      <c r="C55" s="79"/>
      <c r="D55" s="77" t="s">
        <v>146</v>
      </c>
      <c r="E55" s="77"/>
      <c r="F55" s="77"/>
      <c r="G55" s="77"/>
      <c r="H55" s="84">
        <v>1836568.31</v>
      </c>
      <c r="I55" s="77"/>
      <c r="J55" s="78"/>
      <c r="K55" s="28"/>
    </row>
    <row r="56" spans="2:11" x14ac:dyDescent="0.2">
      <c r="B56" s="73"/>
      <c r="C56" s="79"/>
      <c r="D56" s="77" t="s">
        <v>202</v>
      </c>
      <c r="E56" s="77"/>
      <c r="F56" s="77"/>
      <c r="G56" s="77"/>
      <c r="H56" s="378">
        <v>3030623.72</v>
      </c>
      <c r="I56" s="77"/>
      <c r="J56" s="78"/>
      <c r="K56" s="28"/>
    </row>
    <row r="57" spans="2:11" ht="15" thickBot="1" x14ac:dyDescent="0.25">
      <c r="B57" s="73"/>
      <c r="C57" s="79"/>
      <c r="D57" s="77"/>
      <c r="E57" s="77"/>
      <c r="F57" s="77"/>
      <c r="G57" s="77"/>
      <c r="H57" s="85">
        <f>SUM(H54:H56)</f>
        <v>4867192.03</v>
      </c>
      <c r="I57" s="77"/>
      <c r="J57" s="78"/>
      <c r="K57" s="28"/>
    </row>
    <row r="58" spans="2:11" ht="17.25" customHeight="1" thickTop="1" x14ac:dyDescent="0.2">
      <c r="B58" s="73"/>
      <c r="C58" s="74"/>
      <c r="D58" s="86"/>
      <c r="E58" s="75"/>
      <c r="F58" s="68"/>
      <c r="G58" s="87"/>
      <c r="H58" s="88"/>
      <c r="I58" s="89"/>
      <c r="J58" s="78"/>
      <c r="K58" s="28"/>
    </row>
    <row r="59" spans="2:11" ht="12" customHeight="1" x14ac:dyDescent="0.2">
      <c r="B59" s="73"/>
      <c r="C59" s="74"/>
      <c r="D59" s="75"/>
      <c r="E59" s="75"/>
      <c r="F59" s="68"/>
      <c r="G59" s="87"/>
      <c r="H59" s="88"/>
      <c r="I59" s="89"/>
      <c r="J59" s="78"/>
      <c r="K59" s="28"/>
    </row>
    <row r="60" spans="2:11" x14ac:dyDescent="0.2">
      <c r="B60" s="73"/>
      <c r="C60" s="79"/>
      <c r="D60" s="75" t="s">
        <v>91</v>
      </c>
      <c r="E60" s="75"/>
      <c r="F60" s="156"/>
      <c r="G60" s="61"/>
      <c r="H60" s="50"/>
      <c r="I60" s="77"/>
      <c r="J60" s="78"/>
      <c r="K60" s="28"/>
    </row>
    <row r="61" spans="2:11" x14ac:dyDescent="0.2">
      <c r="B61" s="73"/>
      <c r="C61" s="79"/>
      <c r="D61" s="77"/>
      <c r="E61" s="77"/>
      <c r="F61" s="61"/>
      <c r="G61" s="77"/>
      <c r="H61" s="68"/>
      <c r="I61" s="96"/>
      <c r="J61" s="78"/>
      <c r="K61" s="28"/>
    </row>
    <row r="62" spans="2:11" ht="21.75" customHeight="1" x14ac:dyDescent="0.2">
      <c r="B62" s="73"/>
      <c r="C62" s="74" t="s">
        <v>182</v>
      </c>
      <c r="D62" s="90" t="s">
        <v>280</v>
      </c>
      <c r="E62" s="90"/>
      <c r="F62" s="77"/>
      <c r="G62" s="77"/>
      <c r="H62" s="61"/>
      <c r="I62" s="96"/>
      <c r="J62" s="78"/>
      <c r="K62" s="28"/>
    </row>
    <row r="63" spans="2:11" x14ac:dyDescent="0.2">
      <c r="B63" s="73"/>
      <c r="C63" s="79"/>
      <c r="D63" s="77"/>
      <c r="E63" s="77"/>
      <c r="F63" s="77"/>
      <c r="G63" s="77"/>
      <c r="H63" s="77"/>
      <c r="I63" s="77"/>
      <c r="J63" s="78"/>
      <c r="K63" s="28"/>
    </row>
    <row r="64" spans="2:11" x14ac:dyDescent="0.2">
      <c r="B64" s="73"/>
      <c r="C64" s="160"/>
      <c r="D64" s="395" t="s">
        <v>172</v>
      </c>
      <c r="E64" s="161"/>
      <c r="F64" s="162"/>
      <c r="G64" s="395" t="s">
        <v>173</v>
      </c>
      <c r="H64" s="161" t="s">
        <v>114</v>
      </c>
      <c r="I64" s="163" t="s">
        <v>174</v>
      </c>
      <c r="J64" s="78"/>
      <c r="K64" s="28"/>
    </row>
    <row r="65" spans="1:11" ht="15" thickBot="1" x14ac:dyDescent="0.25">
      <c r="B65" s="73"/>
      <c r="C65" s="164"/>
      <c r="D65" s="396"/>
      <c r="E65" s="97"/>
      <c r="F65" s="98"/>
      <c r="G65" s="396"/>
      <c r="H65" s="97" t="s">
        <v>175</v>
      </c>
      <c r="I65" s="165" t="s">
        <v>176</v>
      </c>
      <c r="J65" s="78"/>
      <c r="K65" s="28"/>
    </row>
    <row r="66" spans="1:11" x14ac:dyDescent="0.2">
      <c r="B66" s="73"/>
      <c r="C66" s="166"/>
      <c r="D66" s="77"/>
      <c r="E66" s="77"/>
      <c r="F66" s="77"/>
      <c r="G66" s="62"/>
      <c r="H66" s="62"/>
      <c r="I66" s="167"/>
      <c r="J66" s="78"/>
      <c r="K66" s="28"/>
    </row>
    <row r="67" spans="1:11" ht="17.25" customHeight="1" x14ac:dyDescent="0.2">
      <c r="B67" s="73"/>
      <c r="C67" s="168" t="s">
        <v>177</v>
      </c>
      <c r="D67" s="77"/>
      <c r="E67" s="77"/>
      <c r="F67" s="68"/>
      <c r="G67" s="61">
        <v>179178600</v>
      </c>
      <c r="H67" s="62"/>
      <c r="I67" s="167">
        <f>+G67</f>
        <v>179178600</v>
      </c>
      <c r="J67" s="78"/>
      <c r="K67" s="28"/>
    </row>
    <row r="68" spans="1:11" ht="14.25" customHeight="1" x14ac:dyDescent="0.2">
      <c r="B68" s="73"/>
      <c r="C68" s="168" t="s">
        <v>178</v>
      </c>
      <c r="D68" s="77"/>
      <c r="E68" s="77"/>
      <c r="F68" s="68"/>
      <c r="G68" s="340">
        <v>90440344.430000007</v>
      </c>
      <c r="H68" s="62">
        <v>28751219.91</v>
      </c>
      <c r="I68" s="167">
        <f>+G68-H68</f>
        <v>61689124.520000011</v>
      </c>
      <c r="J68" s="78"/>
      <c r="K68" s="28"/>
    </row>
    <row r="69" spans="1:11" ht="14.25" hidden="1" customHeight="1" x14ac:dyDescent="0.2">
      <c r="B69" s="73"/>
      <c r="C69" s="349" t="s">
        <v>207</v>
      </c>
      <c r="D69" s="77"/>
      <c r="E69" s="77"/>
      <c r="F69" s="68"/>
      <c r="G69" s="340">
        <v>0</v>
      </c>
      <c r="H69" s="62"/>
      <c r="I69" s="167">
        <v>0</v>
      </c>
      <c r="J69" s="78"/>
      <c r="K69" s="28"/>
    </row>
    <row r="70" spans="1:11" ht="14.25" customHeight="1" x14ac:dyDescent="0.2">
      <c r="B70" s="73"/>
      <c r="C70" s="349" t="s">
        <v>255</v>
      </c>
      <c r="D70" s="77"/>
      <c r="E70" s="77"/>
      <c r="F70" s="68"/>
      <c r="G70" s="340">
        <v>56134209</v>
      </c>
      <c r="H70" s="62"/>
      <c r="I70" s="167">
        <f>+G70</f>
        <v>56134209</v>
      </c>
      <c r="J70" s="78"/>
      <c r="K70" s="28"/>
    </row>
    <row r="71" spans="1:11" ht="14.25" customHeight="1" x14ac:dyDescent="0.2">
      <c r="B71" s="73"/>
      <c r="C71" s="349" t="s">
        <v>208</v>
      </c>
      <c r="D71" s="77"/>
      <c r="E71" s="77"/>
      <c r="F71" s="68"/>
      <c r="G71" s="340">
        <v>8646000</v>
      </c>
      <c r="H71" s="62"/>
      <c r="I71" s="167">
        <v>8646000</v>
      </c>
      <c r="J71" s="78"/>
      <c r="K71" s="28"/>
    </row>
    <row r="72" spans="1:11" ht="14.25" customHeight="1" x14ac:dyDescent="0.2">
      <c r="B72" s="73"/>
      <c r="C72" s="349" t="s">
        <v>212</v>
      </c>
      <c r="D72" s="77"/>
      <c r="E72" s="77"/>
      <c r="F72" s="68"/>
      <c r="G72" s="340">
        <f>203095.19</f>
        <v>203095.19</v>
      </c>
      <c r="H72" s="62"/>
      <c r="I72" s="167">
        <f>+G72</f>
        <v>203095.19</v>
      </c>
      <c r="J72" s="78"/>
      <c r="K72" s="28"/>
    </row>
    <row r="73" spans="1:11" x14ac:dyDescent="0.2">
      <c r="A73" s="9"/>
      <c r="B73" s="73"/>
      <c r="C73" s="349" t="s">
        <v>149</v>
      </c>
      <c r="D73" s="77"/>
      <c r="E73" s="77"/>
      <c r="F73" s="331"/>
      <c r="G73" s="340">
        <f>17037922.94</f>
        <v>17037922.940000001</v>
      </c>
      <c r="H73" s="62">
        <v>16600580</v>
      </c>
      <c r="I73" s="167">
        <f>+G73-H73</f>
        <v>437342.94000000134</v>
      </c>
      <c r="J73" s="78"/>
      <c r="K73" s="28"/>
    </row>
    <row r="74" spans="1:11" ht="15.75" customHeight="1" x14ac:dyDescent="0.2">
      <c r="B74" s="73"/>
      <c r="C74" s="349" t="s">
        <v>75</v>
      </c>
      <c r="D74" s="77"/>
      <c r="E74" s="77"/>
      <c r="F74" s="68"/>
      <c r="G74" s="340">
        <f>34432809.02+267159.08+397844.07</f>
        <v>35097812.170000002</v>
      </c>
      <c r="H74" s="62">
        <v>30814683</v>
      </c>
      <c r="I74" s="167">
        <f>+G74-H74</f>
        <v>4283129.1700000018</v>
      </c>
      <c r="J74" s="78"/>
      <c r="K74" s="28"/>
    </row>
    <row r="75" spans="1:11" x14ac:dyDescent="0.2">
      <c r="A75" s="9"/>
      <c r="B75" s="73"/>
      <c r="C75" s="349" t="s">
        <v>41</v>
      </c>
      <c r="D75" s="77"/>
      <c r="E75" s="77"/>
      <c r="F75" s="68"/>
      <c r="G75" s="340">
        <v>6304488</v>
      </c>
      <c r="H75" s="62">
        <f>2880178-1</f>
        <v>2880177</v>
      </c>
      <c r="I75" s="167">
        <f>+G75-H75</f>
        <v>3424311</v>
      </c>
      <c r="J75" s="78"/>
      <c r="K75" s="28"/>
    </row>
    <row r="76" spans="1:11" hidden="1" x14ac:dyDescent="0.2">
      <c r="A76" s="9"/>
      <c r="B76" s="73"/>
      <c r="C76" s="349" t="s">
        <v>162</v>
      </c>
      <c r="D76" s="77"/>
      <c r="E76" s="77"/>
      <c r="F76" s="68"/>
      <c r="G76" s="340">
        <v>0</v>
      </c>
      <c r="H76" s="62">
        <f>+H721</f>
        <v>0</v>
      </c>
      <c r="I76" s="167">
        <v>0</v>
      </c>
      <c r="J76" s="78"/>
      <c r="K76" s="28"/>
    </row>
    <row r="77" spans="1:11" hidden="1" x14ac:dyDescent="0.2">
      <c r="A77" s="9"/>
      <c r="B77" s="73"/>
      <c r="C77" s="349" t="s">
        <v>43</v>
      </c>
      <c r="D77" s="77"/>
      <c r="E77" s="77"/>
      <c r="F77" s="68"/>
      <c r="G77" s="340">
        <v>0</v>
      </c>
      <c r="H77" s="62">
        <v>0</v>
      </c>
      <c r="I77" s="167">
        <v>0</v>
      </c>
      <c r="J77" s="78"/>
      <c r="K77" s="28"/>
    </row>
    <row r="78" spans="1:11" x14ac:dyDescent="0.2">
      <c r="B78" s="73"/>
      <c r="C78" s="349" t="s">
        <v>167</v>
      </c>
      <c r="D78" s="77"/>
      <c r="E78" s="77"/>
      <c r="F78" s="68"/>
      <c r="G78" s="340">
        <f>20523891.97-782546.82-1</f>
        <v>19741344.149999999</v>
      </c>
      <c r="H78" s="62">
        <v>18250712</v>
      </c>
      <c r="I78" s="167">
        <f>+G78-H78</f>
        <v>1490632.1499999985</v>
      </c>
      <c r="J78" s="78"/>
      <c r="K78" s="28"/>
    </row>
    <row r="79" spans="1:11" x14ac:dyDescent="0.2">
      <c r="B79" s="73"/>
      <c r="C79" s="168" t="s">
        <v>92</v>
      </c>
      <c r="D79" s="77"/>
      <c r="E79" s="77"/>
      <c r="F79" s="68"/>
      <c r="G79" s="340">
        <f>47900887+30928.24+504745+524379.65+2398544.36</f>
        <v>51359484.25</v>
      </c>
      <c r="H79" s="62">
        <f>43393403+1</f>
        <v>43393404</v>
      </c>
      <c r="I79" s="167">
        <f>+G79-H79</f>
        <v>7966080.25</v>
      </c>
      <c r="J79" s="78"/>
      <c r="K79" s="28"/>
    </row>
    <row r="80" spans="1:11" x14ac:dyDescent="0.2">
      <c r="B80" s="73"/>
      <c r="C80" s="168" t="s">
        <v>133</v>
      </c>
      <c r="D80" s="77"/>
      <c r="E80" s="77"/>
      <c r="F80" s="68"/>
      <c r="G80" s="348">
        <f>17605611.47+94400</f>
        <v>17700011.469999999</v>
      </c>
      <c r="H80" s="99">
        <f>8101832+1</f>
        <v>8101833</v>
      </c>
      <c r="I80" s="167">
        <f>+G80-H80</f>
        <v>9598178.4699999988</v>
      </c>
      <c r="J80" s="78"/>
      <c r="K80" s="28"/>
    </row>
    <row r="81" spans="2:11" ht="15" thickBot="1" x14ac:dyDescent="0.25">
      <c r="B81" s="73"/>
      <c r="C81" s="170"/>
      <c r="D81" s="68"/>
      <c r="E81" s="77"/>
      <c r="F81" s="68"/>
      <c r="G81" s="100">
        <f>SUM(G67:G80)</f>
        <v>481843311.60000002</v>
      </c>
      <c r="H81" s="100">
        <f>SUM(H68:H80)</f>
        <v>148792608.91</v>
      </c>
      <c r="I81" s="171">
        <f>SUM(I67:I80)</f>
        <v>333050702.68999994</v>
      </c>
      <c r="J81" s="78"/>
      <c r="K81" s="28"/>
    </row>
    <row r="82" spans="2:11" ht="15" thickTop="1" x14ac:dyDescent="0.2">
      <c r="B82" s="73"/>
      <c r="C82" s="172"/>
      <c r="D82" s="152"/>
      <c r="E82" s="173"/>
      <c r="F82" s="173"/>
      <c r="G82" s="99"/>
      <c r="H82" s="99"/>
      <c r="I82" s="169"/>
      <c r="J82" s="78"/>
      <c r="K82" s="28"/>
    </row>
    <row r="83" spans="2:11" x14ac:dyDescent="0.2">
      <c r="B83" s="73"/>
      <c r="C83" s="68"/>
      <c r="D83" s="68"/>
      <c r="E83" s="77"/>
      <c r="F83" s="77"/>
      <c r="G83" s="62"/>
      <c r="H83" s="62"/>
      <c r="I83" s="62"/>
      <c r="J83" s="78"/>
      <c r="K83" s="28"/>
    </row>
    <row r="84" spans="2:11" x14ac:dyDescent="0.2">
      <c r="B84" s="73"/>
      <c r="C84" s="68"/>
      <c r="D84" s="68"/>
      <c r="E84" s="77"/>
      <c r="F84" s="77"/>
      <c r="G84" s="62"/>
      <c r="H84" s="62"/>
      <c r="I84" s="62"/>
      <c r="J84" s="78"/>
      <c r="K84" s="28"/>
    </row>
    <row r="85" spans="2:11" ht="15" thickBot="1" x14ac:dyDescent="0.25">
      <c r="B85" s="92"/>
      <c r="C85" s="117"/>
      <c r="D85" s="117"/>
      <c r="E85" s="93"/>
      <c r="F85" s="93"/>
      <c r="G85" s="177"/>
      <c r="H85" s="177"/>
      <c r="I85" s="177"/>
      <c r="J85" s="94"/>
      <c r="K85" s="28"/>
    </row>
    <row r="86" spans="2:11" ht="18" customHeight="1" thickTop="1" x14ac:dyDescent="0.2">
      <c r="B86" s="73"/>
      <c r="C86" s="77"/>
      <c r="D86" s="148" t="s">
        <v>253</v>
      </c>
      <c r="E86" s="148"/>
      <c r="F86" s="148"/>
      <c r="G86" s="148"/>
      <c r="H86" s="95"/>
      <c r="I86" s="149"/>
      <c r="J86" s="78"/>
      <c r="K86" s="28"/>
    </row>
    <row r="87" spans="2:11" x14ac:dyDescent="0.2">
      <c r="B87" s="73"/>
      <c r="C87" s="77"/>
      <c r="D87" s="148" t="s">
        <v>221</v>
      </c>
      <c r="E87" s="148"/>
      <c r="F87" s="148"/>
      <c r="G87" s="148"/>
      <c r="H87" s="95"/>
      <c r="I87" s="149"/>
      <c r="J87" s="78"/>
      <c r="K87" s="28"/>
    </row>
    <row r="88" spans="2:11" x14ac:dyDescent="0.2">
      <c r="B88" s="101"/>
      <c r="C88" s="67"/>
      <c r="D88" s="187" t="s">
        <v>254</v>
      </c>
      <c r="E88" s="20"/>
      <c r="F88" s="42"/>
      <c r="G88" s="42"/>
      <c r="H88" s="95"/>
      <c r="I88" s="95"/>
      <c r="J88" s="102"/>
    </row>
    <row r="89" spans="2:11" x14ac:dyDescent="0.2">
      <c r="B89" s="101"/>
      <c r="C89" s="67"/>
      <c r="D89" s="148" t="s">
        <v>251</v>
      </c>
      <c r="E89" s="148"/>
      <c r="F89" s="148"/>
      <c r="G89" s="148"/>
      <c r="H89" s="95"/>
      <c r="I89" s="95"/>
      <c r="J89" s="102"/>
    </row>
    <row r="90" spans="2:11" x14ac:dyDescent="0.2">
      <c r="B90" s="101"/>
      <c r="C90" s="67"/>
      <c r="D90" s="148" t="s">
        <v>252</v>
      </c>
      <c r="E90" s="148"/>
      <c r="F90" s="148"/>
      <c r="G90" s="148"/>
      <c r="H90" s="95"/>
      <c r="I90" s="95"/>
      <c r="J90" s="102"/>
    </row>
    <row r="91" spans="2:11" x14ac:dyDescent="0.2">
      <c r="B91" s="101"/>
      <c r="C91" s="67"/>
      <c r="D91" s="148" t="s">
        <v>57</v>
      </c>
      <c r="E91" s="148"/>
      <c r="F91" s="148"/>
      <c r="G91" s="148"/>
      <c r="H91" s="95"/>
      <c r="I91" s="95"/>
      <c r="J91" s="102"/>
    </row>
    <row r="92" spans="2:11" x14ac:dyDescent="0.2">
      <c r="B92" s="101"/>
      <c r="C92" s="55"/>
      <c r="D92" s="68"/>
      <c r="E92" s="68"/>
      <c r="F92" s="55"/>
      <c r="G92" s="128"/>
      <c r="H92" s="68"/>
      <c r="I92" s="68"/>
      <c r="J92" s="102"/>
    </row>
    <row r="93" spans="2:11" x14ac:dyDescent="0.2">
      <c r="B93" s="101"/>
      <c r="C93" s="60" t="s">
        <v>171</v>
      </c>
      <c r="D93" s="60" t="s">
        <v>58</v>
      </c>
      <c r="E93" s="60"/>
      <c r="F93" s="55"/>
      <c r="G93" s="55"/>
      <c r="H93" s="68"/>
      <c r="I93" s="55"/>
      <c r="J93" s="102"/>
    </row>
    <row r="94" spans="2:11" ht="15" thickBot="1" x14ac:dyDescent="0.25">
      <c r="B94" s="101"/>
      <c r="C94" s="55"/>
      <c r="D94" s="55"/>
      <c r="E94" s="55"/>
      <c r="F94" s="55"/>
      <c r="G94" s="55"/>
      <c r="H94" s="55"/>
      <c r="I94" s="55"/>
      <c r="J94" s="102"/>
    </row>
    <row r="95" spans="2:11" ht="21" customHeight="1" thickBot="1" x14ac:dyDescent="0.25">
      <c r="B95" s="101"/>
      <c r="C95" s="55"/>
      <c r="D95" s="103" t="s">
        <v>172</v>
      </c>
      <c r="E95" s="104" t="s">
        <v>93</v>
      </c>
      <c r="F95" s="104" t="s">
        <v>160</v>
      </c>
      <c r="G95" s="104" t="s">
        <v>161</v>
      </c>
      <c r="H95" s="151" t="s">
        <v>56</v>
      </c>
      <c r="I95" s="105" t="s">
        <v>220</v>
      </c>
      <c r="J95" s="102"/>
    </row>
    <row r="96" spans="2:11" ht="9" customHeight="1" x14ac:dyDescent="0.2">
      <c r="B96" s="101"/>
      <c r="C96" s="55"/>
      <c r="D96" s="150"/>
      <c r="E96" s="174"/>
      <c r="F96" s="174"/>
      <c r="G96" s="175"/>
      <c r="H96" s="175"/>
      <c r="I96" s="174"/>
      <c r="J96" s="102"/>
    </row>
    <row r="97" spans="2:10" ht="14.25" customHeight="1" x14ac:dyDescent="0.2">
      <c r="B97" s="101"/>
      <c r="C97" s="55"/>
      <c r="D97" s="55"/>
      <c r="E97" s="55"/>
      <c r="F97" s="55"/>
      <c r="G97" s="68"/>
      <c r="H97" s="68"/>
      <c r="I97" s="55"/>
      <c r="J97" s="102"/>
    </row>
    <row r="98" spans="2:10" ht="14.25" customHeight="1" x14ac:dyDescent="0.2">
      <c r="B98" s="101"/>
      <c r="C98" s="55"/>
      <c r="D98" s="55" t="s">
        <v>166</v>
      </c>
      <c r="E98" s="183">
        <v>97238880</v>
      </c>
      <c r="F98" s="106">
        <v>83697100</v>
      </c>
      <c r="G98" s="106">
        <v>-30801220</v>
      </c>
      <c r="H98" s="62">
        <v>14896456</v>
      </c>
      <c r="I98" s="62">
        <v>-586736</v>
      </c>
      <c r="J98" s="102"/>
    </row>
    <row r="99" spans="2:10" x14ac:dyDescent="0.2">
      <c r="B99" s="101"/>
      <c r="C99" s="55"/>
      <c r="D99" s="55" t="s">
        <v>185</v>
      </c>
      <c r="E99" s="183">
        <v>70888238</v>
      </c>
      <c r="F99" s="106">
        <v>15435455</v>
      </c>
      <c r="G99" s="62">
        <v>28381266</v>
      </c>
      <c r="H99" s="99">
        <v>2179622</v>
      </c>
      <c r="I99" s="99">
        <v>-9830956</v>
      </c>
      <c r="J99" s="102"/>
    </row>
    <row r="100" spans="2:10" ht="15" thickBot="1" x14ac:dyDescent="0.25">
      <c r="B100" s="101"/>
      <c r="C100" s="55"/>
      <c r="D100" s="59" t="s">
        <v>186</v>
      </c>
      <c r="E100" s="184">
        <f>SUM(E98:E99)</f>
        <v>168127118</v>
      </c>
      <c r="F100" s="108">
        <f>SUM(F98:F99)</f>
        <v>99132555</v>
      </c>
      <c r="G100" s="108">
        <f>SUM(G96:G99)</f>
        <v>-2419954</v>
      </c>
      <c r="H100" s="382">
        <f>SUM(H98:H99)</f>
        <v>17076078</v>
      </c>
      <c r="I100" s="176">
        <f>SUM(I98:I99)</f>
        <v>-10417692</v>
      </c>
      <c r="J100" s="107"/>
    </row>
    <row r="101" spans="2:10" ht="18.75" customHeight="1" thickTop="1" thickBot="1" x14ac:dyDescent="0.25">
      <c r="B101" s="101"/>
      <c r="C101" s="55"/>
      <c r="D101" s="55"/>
      <c r="E101" s="55"/>
      <c r="F101" s="55"/>
      <c r="G101" s="55"/>
      <c r="H101" s="55"/>
      <c r="I101" s="67"/>
      <c r="J101" s="102"/>
    </row>
    <row r="102" spans="2:10" ht="15" thickBot="1" x14ac:dyDescent="0.25">
      <c r="B102" s="101"/>
      <c r="C102" s="55"/>
      <c r="D102" s="103" t="s">
        <v>172</v>
      </c>
      <c r="E102" s="105" t="s">
        <v>188</v>
      </c>
      <c r="F102" s="150"/>
      <c r="G102" s="186"/>
      <c r="H102" s="186"/>
      <c r="I102" s="150"/>
      <c r="J102" s="102"/>
    </row>
    <row r="103" spans="2:10" ht="18" customHeight="1" x14ac:dyDescent="0.2">
      <c r="B103" s="101"/>
      <c r="C103" s="55"/>
      <c r="D103" s="150"/>
      <c r="E103" s="174"/>
      <c r="F103" s="150"/>
      <c r="G103" s="68"/>
      <c r="H103" s="68"/>
      <c r="I103" s="383"/>
      <c r="J103" s="102"/>
    </row>
    <row r="104" spans="2:10" ht="14.25" customHeight="1" x14ac:dyDescent="0.2">
      <c r="B104" s="101"/>
      <c r="C104" s="55"/>
      <c r="D104" s="55" t="s">
        <v>166</v>
      </c>
      <c r="E104" s="358">
        <f>SUM(F98:I98)</f>
        <v>67205600</v>
      </c>
      <c r="F104" s="106"/>
      <c r="G104" s="106"/>
      <c r="H104" s="68"/>
      <c r="I104" s="62"/>
      <c r="J104" s="102"/>
    </row>
    <row r="105" spans="2:10" x14ac:dyDescent="0.2">
      <c r="B105" s="101"/>
      <c r="C105" s="55"/>
      <c r="D105" s="55" t="s">
        <v>185</v>
      </c>
      <c r="E105" s="358">
        <f>SUM(F99:I99)</f>
        <v>36165387</v>
      </c>
      <c r="F105" s="106"/>
      <c r="G105" s="62"/>
      <c r="H105" s="68"/>
      <c r="I105" s="62"/>
      <c r="J105" s="102"/>
    </row>
    <row r="106" spans="2:10" ht="15" thickBot="1" x14ac:dyDescent="0.25">
      <c r="B106" s="101"/>
      <c r="C106" s="55"/>
      <c r="D106" s="59" t="s">
        <v>186</v>
      </c>
      <c r="E106" s="184">
        <f>SUM(E104:E105)</f>
        <v>103370987</v>
      </c>
      <c r="F106" s="185"/>
      <c r="G106" s="185"/>
      <c r="H106" s="87"/>
      <c r="I106" s="64"/>
      <c r="J106" s="107"/>
    </row>
    <row r="107" spans="2:10" ht="15" thickTop="1" x14ac:dyDescent="0.2">
      <c r="B107" s="101"/>
      <c r="C107" s="55"/>
      <c r="D107" s="59"/>
      <c r="E107" s="341"/>
      <c r="F107" s="185"/>
      <c r="G107" s="185"/>
      <c r="H107" s="87"/>
      <c r="I107" s="64"/>
      <c r="J107" s="107"/>
    </row>
    <row r="108" spans="2:10" x14ac:dyDescent="0.2">
      <c r="B108" s="101"/>
      <c r="C108" s="55"/>
      <c r="D108" s="59"/>
      <c r="E108" s="341"/>
      <c r="F108" s="359"/>
      <c r="G108" s="185"/>
      <c r="H108" s="87"/>
      <c r="I108" s="64"/>
      <c r="J108" s="107"/>
    </row>
    <row r="109" spans="2:10" x14ac:dyDescent="0.2">
      <c r="B109" s="101"/>
      <c r="C109" s="60" t="s">
        <v>209</v>
      </c>
      <c r="D109" s="342" t="s">
        <v>256</v>
      </c>
      <c r="E109" s="342"/>
      <c r="F109" s="185"/>
      <c r="G109" s="185"/>
      <c r="H109" s="87"/>
      <c r="I109" s="64"/>
      <c r="J109" s="107"/>
    </row>
    <row r="110" spans="2:10" ht="6.75" customHeight="1" x14ac:dyDescent="0.2">
      <c r="B110" s="101"/>
      <c r="C110" s="55"/>
      <c r="D110" s="59"/>
      <c r="E110" s="341"/>
      <c r="F110" s="185"/>
      <c r="G110" s="185"/>
      <c r="H110" s="87"/>
      <c r="I110" s="64"/>
      <c r="J110" s="107"/>
    </row>
    <row r="111" spans="2:10" x14ac:dyDescent="0.2">
      <c r="B111" s="101"/>
      <c r="C111" s="55"/>
      <c r="D111" s="148" t="s">
        <v>269</v>
      </c>
      <c r="E111" s="343"/>
      <c r="F111" s="124"/>
      <c r="G111" s="124"/>
      <c r="H111" s="68"/>
      <c r="I111" s="64"/>
      <c r="J111" s="107"/>
    </row>
    <row r="112" spans="2:10" x14ac:dyDescent="0.2">
      <c r="B112" s="101"/>
      <c r="C112" s="60"/>
      <c r="D112" s="148"/>
      <c r="E112" s="55"/>
      <c r="F112" s="55"/>
      <c r="G112" s="124"/>
      <c r="H112" s="124"/>
      <c r="I112" s="67"/>
      <c r="J112" s="102"/>
    </row>
    <row r="113" spans="1:10" x14ac:dyDescent="0.2">
      <c r="B113" s="101"/>
      <c r="C113" s="60"/>
      <c r="D113" s="55"/>
      <c r="E113" s="55"/>
      <c r="F113" s="55"/>
      <c r="G113" s="124"/>
      <c r="H113" s="124"/>
      <c r="I113" s="67"/>
      <c r="J113" s="102"/>
    </row>
    <row r="114" spans="1:10" x14ac:dyDescent="0.2">
      <c r="B114" s="101"/>
      <c r="C114" s="55"/>
      <c r="D114" s="75" t="s">
        <v>4</v>
      </c>
      <c r="E114" s="75"/>
      <c r="F114" s="76"/>
      <c r="G114" s="68"/>
      <c r="H114" s="124"/>
      <c r="I114" s="62"/>
      <c r="J114" s="102"/>
    </row>
    <row r="115" spans="1:10" x14ac:dyDescent="0.2">
      <c r="B115" s="101"/>
      <c r="C115" s="55"/>
      <c r="D115" s="68"/>
      <c r="E115" s="68"/>
      <c r="F115" s="68"/>
      <c r="G115" s="68"/>
      <c r="H115" s="68"/>
      <c r="I115" s="140"/>
      <c r="J115" s="102"/>
    </row>
    <row r="116" spans="1:10" x14ac:dyDescent="0.2">
      <c r="B116" s="101"/>
      <c r="C116" s="74" t="s">
        <v>89</v>
      </c>
      <c r="D116" s="87" t="s">
        <v>277</v>
      </c>
      <c r="E116" s="87"/>
      <c r="F116" s="68"/>
      <c r="G116" s="68"/>
      <c r="H116" s="68"/>
      <c r="I116" s="56"/>
      <c r="J116" s="109"/>
    </row>
    <row r="117" spans="1:10" x14ac:dyDescent="0.2">
      <c r="B117" s="101"/>
      <c r="C117" s="68"/>
      <c r="D117" s="87"/>
      <c r="E117" s="87"/>
      <c r="F117" s="68"/>
      <c r="G117" s="68"/>
      <c r="I117" s="56"/>
      <c r="J117" s="109"/>
    </row>
    <row r="118" spans="1:10" x14ac:dyDescent="0.2">
      <c r="B118" s="101"/>
      <c r="C118" s="68"/>
      <c r="D118" s="87"/>
      <c r="E118" s="87"/>
      <c r="F118" s="68" t="s">
        <v>65</v>
      </c>
      <c r="G118" s="68"/>
      <c r="H118" s="106">
        <v>655901.92000000004</v>
      </c>
      <c r="I118" s="56"/>
      <c r="J118" s="109"/>
    </row>
    <row r="119" spans="1:10" x14ac:dyDescent="0.2">
      <c r="B119" s="101"/>
      <c r="C119" s="68"/>
      <c r="D119" s="87"/>
      <c r="E119" s="67"/>
      <c r="F119" s="68" t="s">
        <v>66</v>
      </c>
      <c r="G119" s="110"/>
      <c r="H119" s="115">
        <v>2145817.36</v>
      </c>
      <c r="I119" s="56"/>
      <c r="J119" s="109"/>
    </row>
    <row r="120" spans="1:10" ht="14.25" customHeight="1" thickBot="1" x14ac:dyDescent="0.25">
      <c r="B120" s="101"/>
      <c r="C120" s="68"/>
      <c r="D120" s="68"/>
      <c r="E120" s="68"/>
      <c r="F120" s="68"/>
      <c r="G120" s="91" t="s">
        <v>118</v>
      </c>
      <c r="H120" s="111">
        <f>SUM(H118:H119)</f>
        <v>2801719.28</v>
      </c>
      <c r="I120" s="56"/>
      <c r="J120" s="109"/>
    </row>
    <row r="121" spans="1:10" ht="15.75" customHeight="1" thickTop="1" x14ac:dyDescent="0.2">
      <c r="B121" s="101"/>
      <c r="C121" s="68"/>
      <c r="D121" s="68"/>
      <c r="E121" s="68"/>
      <c r="F121" s="68"/>
      <c r="G121" s="91"/>
      <c r="H121" s="112"/>
      <c r="I121" s="56"/>
      <c r="J121" s="109"/>
    </row>
    <row r="122" spans="1:10" ht="15.75" customHeight="1" x14ac:dyDescent="0.2">
      <c r="B122" s="101"/>
      <c r="C122" s="68"/>
      <c r="D122" s="75" t="s">
        <v>134</v>
      </c>
      <c r="E122" s="75"/>
      <c r="F122" s="68"/>
      <c r="G122" s="91"/>
      <c r="H122" s="112"/>
      <c r="I122" s="56"/>
      <c r="J122" s="109"/>
    </row>
    <row r="123" spans="1:10" x14ac:dyDescent="0.2">
      <c r="A123" s="40"/>
      <c r="B123" s="101"/>
      <c r="C123" s="68"/>
      <c r="D123" s="68"/>
      <c r="E123" s="68"/>
      <c r="F123" s="68"/>
      <c r="G123" s="91"/>
      <c r="H123" s="112"/>
      <c r="I123" s="56"/>
      <c r="J123" s="109"/>
    </row>
    <row r="124" spans="1:10" x14ac:dyDescent="0.2">
      <c r="B124" s="101"/>
      <c r="C124" s="74" t="s">
        <v>117</v>
      </c>
      <c r="D124" s="113" t="s">
        <v>278</v>
      </c>
      <c r="E124" s="113"/>
      <c r="F124" s="87"/>
      <c r="G124" s="91"/>
      <c r="H124" s="112"/>
      <c r="I124" s="56"/>
      <c r="J124" s="109"/>
    </row>
    <row r="125" spans="1:10" x14ac:dyDescent="0.2">
      <c r="B125" s="101"/>
      <c r="C125" s="68"/>
      <c r="D125" s="87"/>
      <c r="E125" s="87"/>
      <c r="F125" s="87"/>
      <c r="G125" s="91"/>
      <c r="H125" s="112"/>
      <c r="I125" s="56"/>
      <c r="J125" s="109"/>
    </row>
    <row r="126" spans="1:10" ht="15" customHeight="1" x14ac:dyDescent="0.2">
      <c r="B126" s="101"/>
      <c r="C126" s="68"/>
      <c r="D126" s="87"/>
      <c r="E126" s="87"/>
      <c r="F126" s="87"/>
      <c r="G126" s="91"/>
      <c r="H126" s="112"/>
      <c r="I126" s="56"/>
      <c r="J126" s="109"/>
    </row>
    <row r="127" spans="1:10" ht="14.25" customHeight="1" x14ac:dyDescent="0.2">
      <c r="B127" s="101"/>
      <c r="C127" s="68"/>
      <c r="E127" s="68"/>
      <c r="F127" s="68" t="s">
        <v>262</v>
      </c>
      <c r="G127" s="91"/>
      <c r="H127" s="106">
        <v>338628327.38999999</v>
      </c>
      <c r="I127" s="56"/>
      <c r="J127" s="109"/>
    </row>
    <row r="128" spans="1:10" hidden="1" x14ac:dyDescent="0.2">
      <c r="B128" s="101"/>
      <c r="C128" s="68"/>
      <c r="D128" s="68" t="s">
        <v>155</v>
      </c>
      <c r="E128" s="68"/>
      <c r="F128" s="68"/>
      <c r="G128" s="91"/>
      <c r="H128" s="106"/>
      <c r="I128" s="56"/>
      <c r="J128" s="109"/>
    </row>
    <row r="129" spans="2:10" ht="14.25" hidden="1" customHeight="1" x14ac:dyDescent="0.2">
      <c r="B129" s="101"/>
      <c r="C129" s="68"/>
      <c r="D129" s="68" t="s">
        <v>135</v>
      </c>
      <c r="E129" s="68"/>
      <c r="F129" s="68"/>
      <c r="G129" s="114"/>
      <c r="H129" s="106"/>
      <c r="I129" s="56"/>
      <c r="J129" s="109"/>
    </row>
    <row r="130" spans="2:10" ht="14.25" hidden="1" customHeight="1" x14ac:dyDescent="0.2">
      <c r="B130" s="101"/>
      <c r="C130" s="68"/>
      <c r="D130" s="68" t="s">
        <v>150</v>
      </c>
      <c r="E130" s="68"/>
      <c r="F130" s="68"/>
      <c r="G130" s="114"/>
      <c r="H130" s="115"/>
      <c r="I130" s="56"/>
      <c r="J130" s="109"/>
    </row>
    <row r="131" spans="2:10" ht="15" thickBot="1" x14ac:dyDescent="0.25">
      <c r="B131" s="101"/>
      <c r="C131" s="68"/>
      <c r="D131" s="87"/>
      <c r="E131" s="68"/>
      <c r="F131" s="87" t="s">
        <v>136</v>
      </c>
      <c r="G131" s="91"/>
      <c r="H131" s="116">
        <f>SUM(H127:H130)</f>
        <v>338628327.38999999</v>
      </c>
      <c r="I131" s="56"/>
      <c r="J131" s="109"/>
    </row>
    <row r="132" spans="2:10" ht="15.75" thickTop="1" thickBot="1" x14ac:dyDescent="0.25">
      <c r="B132" s="157"/>
      <c r="C132" s="117"/>
      <c r="D132" s="118"/>
      <c r="E132" s="118"/>
      <c r="F132" s="118"/>
      <c r="G132" s="119"/>
      <c r="H132" s="111"/>
      <c r="I132" s="120"/>
      <c r="J132" s="121"/>
    </row>
    <row r="133" spans="2:10" ht="21" customHeight="1" thickTop="1" x14ac:dyDescent="0.2">
      <c r="B133" s="101"/>
      <c r="C133" s="74" t="s">
        <v>121</v>
      </c>
      <c r="D133" s="75" t="s">
        <v>127</v>
      </c>
      <c r="E133" s="75"/>
      <c r="F133" s="68"/>
      <c r="G133" s="91"/>
      <c r="H133" s="112"/>
      <c r="I133" s="56"/>
      <c r="J133" s="109"/>
    </row>
    <row r="134" spans="2:10" x14ac:dyDescent="0.2">
      <c r="B134" s="101"/>
      <c r="C134" s="68"/>
      <c r="D134" s="75"/>
      <c r="E134" s="75"/>
      <c r="F134" s="68"/>
      <c r="G134" s="91"/>
      <c r="H134" s="112"/>
      <c r="I134" s="56"/>
      <c r="J134" s="109"/>
    </row>
    <row r="135" spans="2:10" ht="20.25" customHeight="1" x14ac:dyDescent="0.2">
      <c r="B135" s="101"/>
      <c r="D135" s="113" t="s">
        <v>279</v>
      </c>
      <c r="E135" s="113"/>
      <c r="F135" s="87"/>
      <c r="G135" s="91"/>
      <c r="H135" s="112"/>
      <c r="I135" s="56"/>
      <c r="J135" s="109"/>
    </row>
    <row r="136" spans="2:10" x14ac:dyDescent="0.2">
      <c r="B136" s="101"/>
      <c r="C136" s="74"/>
      <c r="D136" s="87"/>
      <c r="E136" s="87"/>
      <c r="F136" s="87"/>
      <c r="G136" s="91"/>
      <c r="H136" s="112"/>
      <c r="I136" s="56"/>
      <c r="J136" s="109"/>
    </row>
    <row r="137" spans="2:10" x14ac:dyDescent="0.2">
      <c r="B137" s="101"/>
      <c r="C137" s="68"/>
      <c r="D137" s="87"/>
      <c r="E137" s="87"/>
      <c r="G137" s="91"/>
      <c r="H137" s="112"/>
      <c r="I137" s="64"/>
      <c r="J137" s="109"/>
    </row>
    <row r="138" spans="2:10" x14ac:dyDescent="0.2">
      <c r="B138" s="101"/>
      <c r="C138" s="68"/>
      <c r="D138" s="95" t="s">
        <v>131</v>
      </c>
      <c r="E138" s="95"/>
      <c r="F138" s="95"/>
      <c r="G138" s="113"/>
      <c r="H138" s="371">
        <v>3726725.62</v>
      </c>
      <c r="I138" s="64"/>
      <c r="J138" s="109"/>
    </row>
    <row r="139" spans="2:10" x14ac:dyDescent="0.2">
      <c r="B139" s="101"/>
      <c r="C139" s="68"/>
      <c r="D139" s="95" t="s">
        <v>115</v>
      </c>
      <c r="E139" s="95"/>
      <c r="F139" s="95"/>
      <c r="G139" s="113"/>
      <c r="H139" s="106">
        <v>135523.85</v>
      </c>
      <c r="I139" s="64"/>
      <c r="J139" s="109"/>
    </row>
    <row r="140" spans="2:10" x14ac:dyDescent="0.2">
      <c r="B140" s="101"/>
      <c r="C140" s="68"/>
      <c r="D140" s="95" t="s">
        <v>113</v>
      </c>
      <c r="E140" s="95"/>
      <c r="F140" s="95"/>
      <c r="G140" s="113"/>
      <c r="H140" s="106">
        <v>2436162.35</v>
      </c>
      <c r="I140" s="67"/>
      <c r="J140" s="109"/>
    </row>
    <row r="141" spans="2:10" hidden="1" x14ac:dyDescent="0.2">
      <c r="B141" s="101"/>
      <c r="C141" s="68"/>
      <c r="D141" s="95" t="s">
        <v>90</v>
      </c>
      <c r="E141" s="95"/>
      <c r="F141" s="95"/>
      <c r="G141" s="113"/>
      <c r="H141" s="62">
        <v>0</v>
      </c>
      <c r="I141" s="67"/>
      <c r="J141" s="109"/>
    </row>
    <row r="142" spans="2:10" hidden="1" x14ac:dyDescent="0.2">
      <c r="B142" s="101"/>
      <c r="C142" s="68"/>
      <c r="D142" s="95" t="s">
        <v>204</v>
      </c>
      <c r="E142" s="95"/>
      <c r="F142" s="95"/>
      <c r="G142" s="113"/>
      <c r="H142" s="62">
        <v>0</v>
      </c>
      <c r="I142" s="67"/>
      <c r="J142" s="109"/>
    </row>
    <row r="143" spans="2:10" x14ac:dyDescent="0.2">
      <c r="B143" s="101"/>
      <c r="C143" s="68"/>
      <c r="D143" s="122" t="s">
        <v>151</v>
      </c>
      <c r="E143" s="122"/>
      <c r="F143" s="95"/>
      <c r="G143" s="113"/>
      <c r="H143" s="106">
        <v>41382267.420000002</v>
      </c>
      <c r="I143" s="67"/>
      <c r="J143" s="109"/>
    </row>
    <row r="144" spans="2:10" hidden="1" x14ac:dyDescent="0.2">
      <c r="B144" s="101"/>
      <c r="C144" s="68"/>
      <c r="D144" s="95" t="s">
        <v>21</v>
      </c>
      <c r="E144" s="95"/>
      <c r="F144" s="95"/>
      <c r="G144" s="113"/>
      <c r="H144" s="106">
        <v>0</v>
      </c>
      <c r="I144" s="67"/>
      <c r="J144" s="109"/>
    </row>
    <row r="145" spans="2:10" x14ac:dyDescent="0.2">
      <c r="B145" s="101"/>
      <c r="C145" s="68"/>
      <c r="D145" s="122" t="s">
        <v>270</v>
      </c>
      <c r="E145" s="122"/>
      <c r="F145" s="95"/>
      <c r="G145" s="113"/>
      <c r="H145" s="106">
        <v>2797400</v>
      </c>
      <c r="I145" s="67"/>
      <c r="J145" s="109"/>
    </row>
    <row r="146" spans="2:10" ht="15" thickBot="1" x14ac:dyDescent="0.25">
      <c r="B146" s="101"/>
      <c r="C146" s="68"/>
      <c r="D146" s="123"/>
      <c r="E146" s="123"/>
      <c r="F146" s="95"/>
      <c r="G146" s="91" t="s">
        <v>128</v>
      </c>
      <c r="H146" s="116">
        <f>SUM(H138:H145)</f>
        <v>50478079.240000002</v>
      </c>
      <c r="I146" s="67"/>
      <c r="J146" s="109"/>
    </row>
    <row r="147" spans="2:10" ht="15" thickTop="1" x14ac:dyDescent="0.2">
      <c r="B147" s="101"/>
      <c r="C147" s="68"/>
      <c r="D147" s="123"/>
      <c r="E147" s="123"/>
      <c r="F147" s="95"/>
      <c r="G147" s="68"/>
      <c r="H147" s="68"/>
      <c r="I147" s="67"/>
      <c r="J147" s="109"/>
    </row>
    <row r="148" spans="2:10" hidden="1" x14ac:dyDescent="0.2">
      <c r="B148" s="101"/>
      <c r="C148" s="74" t="s">
        <v>129</v>
      </c>
      <c r="D148" s="75" t="s">
        <v>11</v>
      </c>
      <c r="E148" s="75"/>
      <c r="F148" s="76"/>
      <c r="G148" s="55"/>
      <c r="H148" s="124"/>
      <c r="I148" s="67"/>
      <c r="J148" s="109"/>
    </row>
    <row r="149" spans="2:10" hidden="1" x14ac:dyDescent="0.2">
      <c r="B149" s="101"/>
      <c r="C149" s="68"/>
      <c r="D149" s="55"/>
      <c r="E149" s="55"/>
      <c r="F149" s="55"/>
      <c r="G149" s="55"/>
      <c r="H149" s="124"/>
      <c r="I149" s="56"/>
      <c r="J149" s="109"/>
    </row>
    <row r="150" spans="2:10" ht="15" hidden="1" thickBot="1" x14ac:dyDescent="0.25">
      <c r="B150" s="101"/>
      <c r="C150" s="55"/>
      <c r="D150" s="55"/>
      <c r="E150" s="55"/>
      <c r="F150" s="55"/>
      <c r="G150" s="55"/>
      <c r="H150" s="124"/>
      <c r="I150" s="125" t="e">
        <f>+#REF!</f>
        <v>#REF!</v>
      </c>
      <c r="J150" s="102"/>
    </row>
    <row r="151" spans="2:10" hidden="1" x14ac:dyDescent="0.2">
      <c r="B151" s="101"/>
      <c r="C151" s="55" t="s">
        <v>183</v>
      </c>
      <c r="D151" s="55"/>
      <c r="E151" s="55"/>
      <c r="F151" s="55"/>
      <c r="G151" s="55"/>
      <c r="H151" s="68"/>
      <c r="I151" s="55"/>
      <c r="J151" s="109"/>
    </row>
    <row r="152" spans="2:10" hidden="1" x14ac:dyDescent="0.2">
      <c r="B152" s="101"/>
      <c r="C152" s="55"/>
      <c r="D152" s="55"/>
      <c r="E152" s="55"/>
      <c r="F152" s="55"/>
      <c r="G152" s="55"/>
      <c r="H152" s="68"/>
      <c r="I152" s="55"/>
      <c r="J152" s="109"/>
    </row>
    <row r="153" spans="2:10" hidden="1" x14ac:dyDescent="0.2">
      <c r="B153" s="101"/>
      <c r="C153" s="55" t="s">
        <v>72</v>
      </c>
      <c r="D153" s="55"/>
      <c r="E153" s="55"/>
      <c r="F153" s="55"/>
      <c r="G153" s="55"/>
      <c r="H153" s="68"/>
      <c r="I153" s="56"/>
      <c r="J153" s="109"/>
    </row>
    <row r="154" spans="2:10" hidden="1" x14ac:dyDescent="0.2">
      <c r="B154" s="101"/>
      <c r="C154" s="55" t="s">
        <v>189</v>
      </c>
      <c r="D154" s="55"/>
      <c r="E154" s="55"/>
      <c r="F154" s="55"/>
      <c r="G154" s="55"/>
      <c r="H154" s="68"/>
      <c r="I154" s="56"/>
      <c r="J154" s="109"/>
    </row>
    <row r="155" spans="2:10" hidden="1" x14ac:dyDescent="0.2">
      <c r="B155" s="101"/>
      <c r="C155" s="55" t="s">
        <v>152</v>
      </c>
      <c r="D155" s="55"/>
      <c r="E155" s="55"/>
      <c r="F155" s="55"/>
      <c r="G155" s="55"/>
      <c r="H155" s="68"/>
      <c r="I155" s="56"/>
      <c r="J155" s="109"/>
    </row>
    <row r="156" spans="2:10" hidden="1" x14ac:dyDescent="0.2">
      <c r="B156" s="101"/>
      <c r="C156" s="55" t="s">
        <v>2</v>
      </c>
      <c r="D156" s="55"/>
      <c r="E156" s="55"/>
      <c r="F156" s="55"/>
      <c r="G156" s="55"/>
      <c r="H156" s="68"/>
      <c r="I156" s="56" t="s">
        <v>73</v>
      </c>
      <c r="J156" s="109"/>
    </row>
    <row r="157" spans="2:10" hidden="1" x14ac:dyDescent="0.2">
      <c r="B157" s="101"/>
      <c r="C157" s="55" t="s">
        <v>3</v>
      </c>
      <c r="D157" s="55"/>
      <c r="E157" s="55"/>
      <c r="F157" s="55"/>
      <c r="G157" s="55"/>
      <c r="H157" s="68"/>
      <c r="I157" s="56"/>
      <c r="J157" s="109"/>
    </row>
    <row r="158" spans="2:10" hidden="1" x14ac:dyDescent="0.2">
      <c r="B158" s="101"/>
      <c r="C158" s="60" t="s">
        <v>107</v>
      </c>
      <c r="D158" s="55"/>
      <c r="E158" s="55"/>
      <c r="F158" s="55"/>
      <c r="G158" s="55"/>
      <c r="H158" s="68"/>
      <c r="I158" s="57">
        <v>0</v>
      </c>
      <c r="J158" s="109"/>
    </row>
    <row r="159" spans="2:10" hidden="1" x14ac:dyDescent="0.2">
      <c r="B159" s="101"/>
      <c r="C159" s="55" t="s">
        <v>108</v>
      </c>
      <c r="D159" s="55"/>
      <c r="E159" s="55"/>
      <c r="F159" s="55"/>
      <c r="G159" s="55"/>
      <c r="H159" s="68"/>
      <c r="I159" s="62"/>
      <c r="J159" s="109"/>
    </row>
    <row r="160" spans="2:10" x14ac:dyDescent="0.2">
      <c r="B160" s="101"/>
      <c r="C160" s="55"/>
      <c r="D160" s="55"/>
      <c r="E160" s="55"/>
      <c r="F160" s="55"/>
      <c r="G160" s="55"/>
      <c r="H160" s="68"/>
      <c r="I160" s="62"/>
      <c r="J160" s="109"/>
    </row>
    <row r="161" spans="2:10" x14ac:dyDescent="0.2">
      <c r="B161" s="101"/>
      <c r="C161" s="178"/>
      <c r="D161" s="60"/>
      <c r="E161" s="60"/>
      <c r="F161" s="55"/>
      <c r="G161" s="55"/>
      <c r="I161" s="112"/>
      <c r="J161" s="109"/>
    </row>
    <row r="162" spans="2:10" ht="21.75" customHeight="1" thickBot="1" x14ac:dyDescent="0.25">
      <c r="B162" s="157"/>
      <c r="C162" s="159"/>
      <c r="D162" s="159"/>
      <c r="E162" s="159"/>
      <c r="F162" s="158"/>
      <c r="G162" s="158"/>
      <c r="H162" s="117"/>
      <c r="I162" s="111"/>
      <c r="J162" s="121"/>
    </row>
    <row r="163" spans="2:10" ht="15" thickTop="1" x14ac:dyDescent="0.2">
      <c r="C163" s="55"/>
    </row>
    <row r="164" spans="2:10" x14ac:dyDescent="0.2">
      <c r="H164" s="24"/>
    </row>
    <row r="165" spans="2:10" x14ac:dyDescent="0.2">
      <c r="H165" s="24"/>
    </row>
    <row r="166" spans="2:10" x14ac:dyDescent="0.2">
      <c r="D166" s="38"/>
      <c r="E166" s="41"/>
      <c r="F166" s="10"/>
      <c r="G166" s="39"/>
      <c r="H166" s="12"/>
    </row>
    <row r="167" spans="2:10" x14ac:dyDescent="0.2">
      <c r="D167" s="38"/>
      <c r="E167" s="41"/>
      <c r="F167" s="10"/>
      <c r="G167" s="39"/>
      <c r="H167" s="28"/>
    </row>
    <row r="168" spans="2:10" x14ac:dyDescent="0.2">
      <c r="H168" s="357"/>
    </row>
    <row r="170" spans="2:10" x14ac:dyDescent="0.2">
      <c r="H170" s="43"/>
    </row>
    <row r="171" spans="2:10" x14ac:dyDescent="0.2">
      <c r="H171" s="43"/>
    </row>
    <row r="172" spans="2:10" x14ac:dyDescent="0.2">
      <c r="H172" s="43"/>
    </row>
    <row r="173" spans="2:10" x14ac:dyDescent="0.2">
      <c r="H173" s="43"/>
    </row>
    <row r="174" spans="2:10" x14ac:dyDescent="0.2">
      <c r="H174" s="43"/>
    </row>
    <row r="175" spans="2:10" x14ac:dyDescent="0.2">
      <c r="H175" s="43"/>
    </row>
    <row r="176" spans="2:10" x14ac:dyDescent="0.2">
      <c r="H176" s="43"/>
    </row>
    <row r="177" spans="8:8" x14ac:dyDescent="0.2">
      <c r="H177" s="43"/>
    </row>
    <row r="178" spans="8:8" x14ac:dyDescent="0.2">
      <c r="H178" s="43"/>
    </row>
    <row r="179" spans="8:8" x14ac:dyDescent="0.2">
      <c r="H179" s="43"/>
    </row>
    <row r="180" spans="8:8" x14ac:dyDescent="0.2">
      <c r="H180" s="44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69"/>
  <sheetViews>
    <sheetView zoomScale="110" zoomScaleNormal="110" workbookViewId="0">
      <selection activeCell="L17" sqref="L17"/>
    </sheetView>
  </sheetViews>
  <sheetFormatPr baseColWidth="10" defaultRowHeight="14.25" x14ac:dyDescent="0.2"/>
  <cols>
    <col min="1" max="1" width="4.5703125" style="18" customWidth="1"/>
    <col min="2" max="2" width="3.7109375" style="18" customWidth="1"/>
    <col min="3" max="3" width="58.28515625" style="18" customWidth="1"/>
    <col min="4" max="4" width="17.140625" style="18" customWidth="1"/>
    <col min="5" max="5" width="3.5703125" style="18" customWidth="1"/>
    <col min="6" max="6" width="17.5703125" style="18" customWidth="1"/>
    <col min="7" max="7" width="4" style="18" customWidth="1"/>
    <col min="8" max="8" width="4.85546875" style="19" customWidth="1"/>
    <col min="9" max="9" width="13.85546875" style="19" bestFit="1" customWidth="1"/>
    <col min="10" max="16384" width="11.42578125" style="18"/>
  </cols>
  <sheetData>
    <row r="2" spans="2:7" ht="15" thickBot="1" x14ac:dyDescent="0.25"/>
    <row r="3" spans="2:7" ht="15" thickTop="1" x14ac:dyDescent="0.2">
      <c r="B3" s="267"/>
      <c r="C3" s="268"/>
      <c r="D3" s="268"/>
      <c r="E3" s="268"/>
      <c r="F3" s="268"/>
      <c r="G3" s="269"/>
    </row>
    <row r="4" spans="2:7" x14ac:dyDescent="0.2">
      <c r="B4" s="270"/>
      <c r="C4" s="22"/>
      <c r="D4" s="22"/>
      <c r="E4" s="22"/>
      <c r="F4" s="22"/>
      <c r="G4" s="271"/>
    </row>
    <row r="5" spans="2:7" x14ac:dyDescent="0.2">
      <c r="B5" s="270"/>
      <c r="C5" s="22"/>
      <c r="D5" s="22"/>
      <c r="E5" s="22"/>
      <c r="F5" s="22"/>
      <c r="G5" s="271"/>
    </row>
    <row r="6" spans="2:7" x14ac:dyDescent="0.2">
      <c r="B6" s="270"/>
      <c r="C6" s="6"/>
      <c r="D6" s="6"/>
      <c r="E6" s="6"/>
      <c r="F6" s="6"/>
      <c r="G6" s="271"/>
    </row>
    <row r="7" spans="2:7" x14ac:dyDescent="0.2">
      <c r="B7" s="387" t="s">
        <v>1</v>
      </c>
      <c r="C7" s="388"/>
      <c r="D7" s="388"/>
      <c r="E7" s="388"/>
      <c r="F7" s="388"/>
      <c r="G7" s="389"/>
    </row>
    <row r="8" spans="2:7" x14ac:dyDescent="0.2">
      <c r="B8" s="387" t="str">
        <f>+'CASH F'!$B$9:$F$9</f>
        <v>DEL 01 DE ENERO AL 31 DE MARZO 2021</v>
      </c>
      <c r="C8" s="388"/>
      <c r="D8" s="388"/>
      <c r="E8" s="388"/>
      <c r="F8" s="388"/>
      <c r="G8" s="389"/>
    </row>
    <row r="9" spans="2:7" x14ac:dyDescent="0.2">
      <c r="B9" s="387" t="s">
        <v>168</v>
      </c>
      <c r="C9" s="388"/>
      <c r="D9" s="388"/>
      <c r="E9" s="388"/>
      <c r="F9" s="388"/>
      <c r="G9" s="389"/>
    </row>
    <row r="10" spans="2:7" ht="15" thickBot="1" x14ac:dyDescent="0.25">
      <c r="B10" s="281"/>
      <c r="C10" s="23"/>
      <c r="D10" s="23"/>
      <c r="E10" s="23"/>
      <c r="F10" s="23"/>
      <c r="G10" s="282"/>
    </row>
    <row r="11" spans="2:7" x14ac:dyDescent="0.2">
      <c r="B11" s="283"/>
      <c r="C11" s="55"/>
      <c r="D11" s="55"/>
      <c r="E11" s="55"/>
      <c r="F11" s="55"/>
      <c r="G11" s="102"/>
    </row>
    <row r="12" spans="2:7" x14ac:dyDescent="0.2">
      <c r="B12" s="283"/>
      <c r="C12" s="55"/>
      <c r="D12" s="327" t="s">
        <v>275</v>
      </c>
      <c r="E12" s="54"/>
      <c r="F12" s="327" t="s">
        <v>69</v>
      </c>
      <c r="G12" s="102"/>
    </row>
    <row r="13" spans="2:7" x14ac:dyDescent="0.2">
      <c r="B13" s="283"/>
      <c r="C13" s="55"/>
      <c r="D13" s="55"/>
      <c r="E13" s="55"/>
      <c r="F13" s="55"/>
      <c r="G13" s="102"/>
    </row>
    <row r="14" spans="2:7" x14ac:dyDescent="0.2">
      <c r="B14" s="283"/>
      <c r="C14" s="52" t="s">
        <v>195</v>
      </c>
      <c r="D14" s="68"/>
      <c r="E14" s="68"/>
      <c r="F14" s="68"/>
      <c r="G14" s="102"/>
    </row>
    <row r="15" spans="2:7" ht="12.75" hidden="1" customHeight="1" x14ac:dyDescent="0.2">
      <c r="B15" s="283"/>
      <c r="C15" s="55" t="s">
        <v>60</v>
      </c>
      <c r="D15" s="106">
        <v>0</v>
      </c>
      <c r="E15" s="106"/>
      <c r="F15" s="106">
        <f>+D15</f>
        <v>0</v>
      </c>
      <c r="G15" s="102"/>
    </row>
    <row r="16" spans="2:7" hidden="1" x14ac:dyDescent="0.2">
      <c r="B16" s="283"/>
      <c r="C16" s="55" t="s">
        <v>164</v>
      </c>
      <c r="D16" s="106"/>
      <c r="E16" s="106"/>
      <c r="F16" s="106">
        <f>+D16</f>
        <v>0</v>
      </c>
      <c r="G16" s="102"/>
    </row>
    <row r="17" spans="2:7" x14ac:dyDescent="0.2">
      <c r="B17" s="283"/>
      <c r="C17" s="55"/>
      <c r="D17" s="106"/>
      <c r="E17" s="106"/>
      <c r="F17" s="106"/>
      <c r="G17" s="102"/>
    </row>
    <row r="18" spans="2:7" x14ac:dyDescent="0.2">
      <c r="B18" s="283"/>
      <c r="C18" s="220" t="s">
        <v>130</v>
      </c>
      <c r="D18" s="258">
        <v>20797342</v>
      </c>
      <c r="F18" s="258">
        <f>39911322.86+D18</f>
        <v>60708664.859999999</v>
      </c>
      <c r="G18" s="102"/>
    </row>
    <row r="19" spans="2:7" x14ac:dyDescent="0.2">
      <c r="B19" s="283"/>
      <c r="C19" s="220" t="s">
        <v>139</v>
      </c>
      <c r="D19" s="258">
        <v>33627033.829999998</v>
      </c>
      <c r="E19" s="262"/>
      <c r="F19" s="258">
        <f>64707261.76+D19</f>
        <v>98334295.590000004</v>
      </c>
      <c r="G19" s="102"/>
    </row>
    <row r="20" spans="2:7" x14ac:dyDescent="0.2">
      <c r="B20" s="283"/>
      <c r="C20" s="220" t="s">
        <v>145</v>
      </c>
      <c r="D20" s="258">
        <v>279693.58</v>
      </c>
      <c r="E20" s="284"/>
      <c r="F20" s="258">
        <f>450442.49+D20</f>
        <v>730136.07000000007</v>
      </c>
      <c r="G20" s="102"/>
    </row>
    <row r="21" spans="2:7" hidden="1" x14ac:dyDescent="0.2">
      <c r="B21" s="283"/>
      <c r="C21" s="220" t="s">
        <v>147</v>
      </c>
      <c r="D21" s="258">
        <v>0</v>
      </c>
      <c r="E21" s="239"/>
      <c r="F21" s="258">
        <v>0</v>
      </c>
      <c r="G21" s="102"/>
    </row>
    <row r="22" spans="2:7" x14ac:dyDescent="0.2">
      <c r="B22" s="283"/>
      <c r="C22" s="220" t="s">
        <v>88</v>
      </c>
      <c r="D22" s="259">
        <v>614435.13</v>
      </c>
      <c r="E22" s="258"/>
      <c r="F22" s="259">
        <f>1391670.26+D22</f>
        <v>2006105.3900000001</v>
      </c>
      <c r="G22" s="102"/>
    </row>
    <row r="23" spans="2:7" x14ac:dyDescent="0.2">
      <c r="B23" s="283"/>
      <c r="C23" s="65" t="s">
        <v>169</v>
      </c>
      <c r="D23" s="380">
        <f>SUM(D18:D22)</f>
        <v>55318504.539999999</v>
      </c>
      <c r="E23" s="106"/>
      <c r="F23" s="63">
        <f>SUM(F18:F22)</f>
        <v>161779201.90999997</v>
      </c>
      <c r="G23" s="102"/>
    </row>
    <row r="24" spans="2:7" x14ac:dyDescent="0.2">
      <c r="B24" s="283"/>
      <c r="D24" s="373"/>
      <c r="E24" s="330"/>
      <c r="G24" s="102"/>
    </row>
    <row r="25" spans="2:7" x14ac:dyDescent="0.2">
      <c r="B25" s="283"/>
      <c r="C25" s="52" t="s">
        <v>196</v>
      </c>
      <c r="D25" s="285"/>
      <c r="F25" s="377"/>
      <c r="G25" s="102"/>
    </row>
    <row r="26" spans="2:7" x14ac:dyDescent="0.2">
      <c r="B26" s="283"/>
      <c r="C26" s="52"/>
      <c r="D26" s="106"/>
      <c r="E26" s="106"/>
      <c r="F26" s="106"/>
      <c r="G26" s="102"/>
    </row>
    <row r="27" spans="2:7" x14ac:dyDescent="0.2">
      <c r="B27" s="283"/>
      <c r="C27" s="260" t="s">
        <v>76</v>
      </c>
      <c r="D27" s="372">
        <v>41121524.799999997</v>
      </c>
      <c r="E27" s="373"/>
      <c r="F27" s="372">
        <f>78792516.36+D27</f>
        <v>119914041.16</v>
      </c>
      <c r="G27" s="102"/>
    </row>
    <row r="28" spans="2:7" x14ac:dyDescent="0.2">
      <c r="B28" s="283"/>
      <c r="C28" s="261" t="s">
        <v>77</v>
      </c>
      <c r="D28" s="372">
        <v>5966494</v>
      </c>
      <c r="E28" s="374"/>
      <c r="F28" s="372">
        <f>8888210.99+D28</f>
        <v>14854704.99</v>
      </c>
      <c r="G28" s="102"/>
    </row>
    <row r="29" spans="2:7" x14ac:dyDescent="0.2">
      <c r="B29" s="283"/>
      <c r="C29" s="261" t="s">
        <v>210</v>
      </c>
      <c r="D29" s="372">
        <v>1203186</v>
      </c>
      <c r="E29" s="374"/>
      <c r="F29" s="372">
        <f>2810038.13+D29</f>
        <v>4013224.13</v>
      </c>
      <c r="G29" s="102"/>
    </row>
    <row r="30" spans="2:7" x14ac:dyDescent="0.2">
      <c r="B30" s="283"/>
      <c r="C30" s="261" t="s">
        <v>94</v>
      </c>
      <c r="D30" s="372">
        <v>997631</v>
      </c>
      <c r="E30" s="373"/>
      <c r="F30" s="372">
        <f>2038306.23+D30</f>
        <v>3035937.23</v>
      </c>
      <c r="G30" s="102"/>
    </row>
    <row r="31" spans="2:7" x14ac:dyDescent="0.2">
      <c r="B31" s="283"/>
      <c r="C31" s="261" t="s">
        <v>78</v>
      </c>
      <c r="D31" s="375">
        <v>414500</v>
      </c>
      <c r="E31" s="373"/>
      <c r="F31" s="375">
        <f>707644+D31</f>
        <v>1122144</v>
      </c>
      <c r="G31" s="102"/>
    </row>
    <row r="32" spans="2:7" x14ac:dyDescent="0.2">
      <c r="B32" s="283"/>
      <c r="C32" s="59" t="s">
        <v>80</v>
      </c>
      <c r="D32" s="63">
        <f>SUM(D27:D31)</f>
        <v>49703335.799999997</v>
      </c>
      <c r="E32" s="112"/>
      <c r="F32" s="63">
        <f>SUM(F27:F31)-1</f>
        <v>142940050.50999999</v>
      </c>
      <c r="G32" s="102"/>
    </row>
    <row r="33" spans="2:7" x14ac:dyDescent="0.2">
      <c r="B33" s="283"/>
      <c r="C33" s="59"/>
      <c r="D33" s="112"/>
      <c r="E33" s="112"/>
      <c r="F33" s="112"/>
      <c r="G33" s="102"/>
    </row>
    <row r="34" spans="2:7" hidden="1" x14ac:dyDescent="0.2">
      <c r="B34" s="283"/>
      <c r="C34" s="52" t="s">
        <v>79</v>
      </c>
      <c r="D34" s="106"/>
      <c r="E34" s="51"/>
      <c r="F34" s="106"/>
      <c r="G34" s="102"/>
    </row>
    <row r="35" spans="2:7" hidden="1" x14ac:dyDescent="0.2">
      <c r="B35" s="283"/>
      <c r="C35" s="95" t="s">
        <v>170</v>
      </c>
      <c r="D35" s="126">
        <v>0</v>
      </c>
      <c r="E35" s="51"/>
      <c r="F35" s="115">
        <v>0</v>
      </c>
      <c r="G35" s="102"/>
    </row>
    <row r="36" spans="2:7" hidden="1" x14ac:dyDescent="0.2">
      <c r="B36" s="283"/>
      <c r="C36" s="59" t="s">
        <v>81</v>
      </c>
      <c r="D36" s="88">
        <f>+D35</f>
        <v>0</v>
      </c>
      <c r="E36" s="112"/>
      <c r="F36" s="112">
        <f>SUM(F35)</f>
        <v>0</v>
      </c>
      <c r="G36" s="102"/>
    </row>
    <row r="37" spans="2:7" x14ac:dyDescent="0.2">
      <c r="B37" s="283"/>
      <c r="C37" s="59"/>
      <c r="D37" s="112"/>
      <c r="E37" s="112"/>
      <c r="F37" s="112"/>
      <c r="G37" s="102"/>
    </row>
    <row r="38" spans="2:7" x14ac:dyDescent="0.2">
      <c r="B38" s="283"/>
      <c r="C38" s="65" t="s">
        <v>62</v>
      </c>
      <c r="D38" s="63">
        <f>+D36+D32</f>
        <v>49703335.799999997</v>
      </c>
      <c r="E38" s="106"/>
      <c r="F38" s="63">
        <f>+F36+F32</f>
        <v>142940050.50999999</v>
      </c>
      <c r="G38" s="102"/>
    </row>
    <row r="39" spans="2:7" x14ac:dyDescent="0.2">
      <c r="B39" s="283"/>
      <c r="C39" s="55"/>
      <c r="D39" s="106"/>
      <c r="E39" s="106"/>
      <c r="F39" s="115"/>
      <c r="G39" s="102"/>
    </row>
    <row r="40" spans="2:7" ht="15" thickBot="1" x14ac:dyDescent="0.25">
      <c r="B40" s="283"/>
      <c r="C40" s="65" t="s">
        <v>148</v>
      </c>
      <c r="D40" s="116">
        <f>+D23-D38</f>
        <v>5615168.7400000021</v>
      </c>
      <c r="E40" s="106"/>
      <c r="F40" s="116">
        <f>+F23-F32</f>
        <v>18839151.399999976</v>
      </c>
      <c r="G40" s="102"/>
    </row>
    <row r="41" spans="2:7" ht="15" thickTop="1" x14ac:dyDescent="0.2">
      <c r="B41" s="283"/>
      <c r="C41" s="55"/>
      <c r="D41" s="61"/>
      <c r="E41" s="68"/>
      <c r="F41" s="68"/>
      <c r="G41" s="102"/>
    </row>
    <row r="42" spans="2:7" ht="14.25" hidden="1" customHeight="1" x14ac:dyDescent="0.2">
      <c r="B42" s="283"/>
      <c r="C42" s="52"/>
      <c r="D42" s="61"/>
      <c r="E42" s="68"/>
      <c r="F42" s="68"/>
      <c r="G42" s="102"/>
    </row>
    <row r="43" spans="2:7" hidden="1" x14ac:dyDescent="0.2">
      <c r="B43" s="283"/>
      <c r="C43" s="52"/>
      <c r="D43" s="61"/>
      <c r="E43" s="68"/>
      <c r="F43" s="68"/>
      <c r="G43" s="102"/>
    </row>
    <row r="44" spans="2:7" hidden="1" x14ac:dyDescent="0.2">
      <c r="B44" s="283"/>
      <c r="C44" s="52"/>
      <c r="D44" s="61"/>
      <c r="E44" s="68"/>
      <c r="F44" s="68"/>
      <c r="G44" s="102"/>
    </row>
    <row r="45" spans="2:7" x14ac:dyDescent="0.2">
      <c r="B45" s="283"/>
      <c r="C45" s="60"/>
      <c r="D45" s="87"/>
      <c r="E45" s="51"/>
      <c r="F45" s="51"/>
      <c r="G45" s="102"/>
    </row>
    <row r="46" spans="2:7" x14ac:dyDescent="0.2">
      <c r="B46" s="283"/>
      <c r="C46" s="60"/>
      <c r="D46" s="285"/>
      <c r="E46" s="51"/>
      <c r="F46" s="285"/>
      <c r="G46" s="102"/>
    </row>
    <row r="47" spans="2:7" x14ac:dyDescent="0.2">
      <c r="B47" s="283"/>
      <c r="C47" s="55"/>
      <c r="D47" s="285"/>
      <c r="E47" s="285"/>
      <c r="F47" s="285"/>
      <c r="G47" s="102"/>
    </row>
    <row r="48" spans="2:7" x14ac:dyDescent="0.2">
      <c r="B48" s="283"/>
      <c r="C48" s="55"/>
      <c r="E48" s="55"/>
      <c r="F48" s="128"/>
      <c r="G48" s="102"/>
    </row>
    <row r="49" spans="2:9" ht="15" thickBot="1" x14ac:dyDescent="0.25">
      <c r="B49" s="286"/>
      <c r="C49" s="158"/>
      <c r="D49" s="287"/>
      <c r="E49" s="158"/>
      <c r="F49" s="288"/>
      <c r="G49" s="289"/>
    </row>
    <row r="50" spans="2:9" s="19" customFormat="1" ht="15" thickTop="1" x14ac:dyDescent="0.2">
      <c r="B50" s="14"/>
      <c r="C50" s="14"/>
      <c r="D50" s="14"/>
      <c r="E50" s="14"/>
      <c r="F50" s="14"/>
      <c r="G50" s="14"/>
    </row>
    <row r="51" spans="2:9" s="19" customFormat="1" x14ac:dyDescent="0.2">
      <c r="B51" s="14"/>
      <c r="C51" s="14"/>
      <c r="D51" s="14"/>
      <c r="E51" s="14"/>
      <c r="F51" s="14"/>
      <c r="G51" s="14"/>
    </row>
    <row r="52" spans="2:9" s="19" customFormat="1" x14ac:dyDescent="0.2">
      <c r="B52" s="14"/>
      <c r="C52" s="14"/>
      <c r="D52" s="14"/>
      <c r="E52" s="14"/>
      <c r="F52" s="14"/>
      <c r="G52" s="14"/>
    </row>
    <row r="53" spans="2:9" s="19" customFormat="1" x14ac:dyDescent="0.2">
      <c r="B53" s="14"/>
      <c r="C53" s="14"/>
      <c r="D53" s="14"/>
      <c r="E53" s="14"/>
      <c r="F53" s="14"/>
      <c r="G53" s="14"/>
    </row>
    <row r="54" spans="2:9" s="19" customFormat="1" x14ac:dyDescent="0.2">
      <c r="B54" s="14"/>
      <c r="C54" s="355" t="s">
        <v>213</v>
      </c>
      <c r="D54" s="397" t="s">
        <v>217</v>
      </c>
      <c r="E54" s="397"/>
      <c r="F54" s="397"/>
      <c r="G54" s="14"/>
    </row>
    <row r="55" spans="2:9" s="7" customFormat="1" x14ac:dyDescent="0.2">
      <c r="B55" s="13"/>
      <c r="C55" s="16" t="s">
        <v>211</v>
      </c>
      <c r="D55" s="394" t="s">
        <v>190</v>
      </c>
      <c r="E55" s="394"/>
      <c r="F55" s="394"/>
      <c r="G55" s="15"/>
      <c r="H55" s="4"/>
      <c r="I55" s="4"/>
    </row>
    <row r="56" spans="2:9" s="7" customFormat="1" x14ac:dyDescent="0.2">
      <c r="B56" s="13"/>
      <c r="D56" s="264"/>
      <c r="E56" s="264"/>
      <c r="F56" s="264"/>
      <c r="G56" s="15"/>
      <c r="H56" s="4"/>
      <c r="I56" s="4"/>
    </row>
    <row r="57" spans="2:9" s="19" customFormat="1" x14ac:dyDescent="0.2">
      <c r="B57" s="14"/>
      <c r="C57" s="14"/>
      <c r="D57" s="14"/>
      <c r="E57" s="14"/>
      <c r="F57" s="14"/>
      <c r="G57" s="14"/>
    </row>
    <row r="58" spans="2:9" s="19" customFormat="1" x14ac:dyDescent="0.2">
      <c r="B58" s="14"/>
      <c r="C58" s="14"/>
      <c r="D58" s="14"/>
      <c r="E58" s="14"/>
      <c r="F58" s="14"/>
      <c r="G58" s="14"/>
    </row>
    <row r="59" spans="2:9" s="19" customFormat="1" x14ac:dyDescent="0.2">
      <c r="B59" s="14"/>
      <c r="C59" s="16" t="s">
        <v>218</v>
      </c>
      <c r="D59" s="14"/>
      <c r="E59" s="14"/>
      <c r="F59" s="14"/>
      <c r="G59" s="14"/>
    </row>
    <row r="60" spans="2:9" s="19" customFormat="1" x14ac:dyDescent="0.2">
      <c r="B60" s="14"/>
      <c r="C60" s="265" t="s">
        <v>40</v>
      </c>
      <c r="D60" s="265"/>
      <c r="E60" s="265"/>
      <c r="F60" s="265"/>
      <c r="G60" s="14"/>
    </row>
    <row r="61" spans="2:9" s="19" customFormat="1" x14ac:dyDescent="0.2">
      <c r="B61" s="14"/>
      <c r="C61" s="14"/>
      <c r="D61" s="14"/>
      <c r="E61" s="14"/>
      <c r="F61" s="14"/>
      <c r="G61" s="14"/>
    </row>
    <row r="62" spans="2:9" s="19" customFormat="1" x14ac:dyDescent="0.2">
      <c r="B62" s="14"/>
      <c r="C62" s="14"/>
      <c r="D62" s="14"/>
      <c r="E62" s="14"/>
      <c r="F62" s="14"/>
      <c r="G62" s="14"/>
    </row>
    <row r="63" spans="2:9" s="19" customFormat="1" x14ac:dyDescent="0.2">
      <c r="B63" s="14"/>
      <c r="C63" s="14"/>
      <c r="D63" s="14"/>
      <c r="E63" s="14"/>
      <c r="F63" s="14"/>
      <c r="G63" s="14"/>
    </row>
    <row r="64" spans="2:9" s="19" customFormat="1" x14ac:dyDescent="0.2">
      <c r="B64" s="14"/>
      <c r="C64" s="14"/>
      <c r="D64" s="14"/>
      <c r="E64" s="14"/>
      <c r="F64" s="14"/>
      <c r="G64" s="14"/>
    </row>
    <row r="65" spans="2:7" s="19" customFormat="1" x14ac:dyDescent="0.2">
      <c r="B65" s="14"/>
      <c r="C65" s="14"/>
      <c r="D65" s="14"/>
      <c r="E65" s="14"/>
      <c r="F65" s="14"/>
      <c r="G65" s="14"/>
    </row>
    <row r="66" spans="2:7" s="19" customFormat="1" x14ac:dyDescent="0.2">
      <c r="B66" s="14"/>
      <c r="C66" s="14"/>
      <c r="D66" s="14"/>
      <c r="E66" s="14"/>
      <c r="F66" s="14"/>
      <c r="G66" s="14"/>
    </row>
    <row r="67" spans="2:7" s="19" customFormat="1" x14ac:dyDescent="0.2">
      <c r="B67" s="14"/>
      <c r="C67" s="14"/>
      <c r="D67" s="14"/>
      <c r="E67" s="14"/>
      <c r="F67" s="14"/>
      <c r="G67" s="14"/>
    </row>
    <row r="68" spans="2:7" s="19" customFormat="1" x14ac:dyDescent="0.2">
      <c r="B68" s="14"/>
      <c r="C68" s="14"/>
      <c r="D68" s="14"/>
      <c r="E68" s="14"/>
      <c r="F68" s="14"/>
      <c r="G68" s="14"/>
    </row>
    <row r="69" spans="2:7" s="19" customFormat="1" x14ac:dyDescent="0.2">
      <c r="B69" s="14"/>
      <c r="C69" s="14"/>
      <c r="D69" s="14"/>
      <c r="E69" s="14"/>
      <c r="F69" s="14"/>
      <c r="G69" s="14"/>
    </row>
    <row r="70" spans="2:7" s="19" customFormat="1" x14ac:dyDescent="0.2">
      <c r="B70" s="14"/>
      <c r="C70" s="14"/>
      <c r="D70" s="14"/>
      <c r="E70" s="14"/>
      <c r="F70" s="14"/>
      <c r="G70" s="14"/>
    </row>
    <row r="71" spans="2:7" s="19" customFormat="1" x14ac:dyDescent="0.2"/>
    <row r="72" spans="2:7" s="19" customFormat="1" x14ac:dyDescent="0.2"/>
    <row r="73" spans="2:7" s="19" customFormat="1" x14ac:dyDescent="0.2"/>
    <row r="74" spans="2:7" s="19" customFormat="1" x14ac:dyDescent="0.2"/>
    <row r="75" spans="2:7" s="19" customFormat="1" x14ac:dyDescent="0.2"/>
    <row r="76" spans="2:7" s="19" customFormat="1" x14ac:dyDescent="0.2"/>
    <row r="77" spans="2:7" s="19" customFormat="1" x14ac:dyDescent="0.2"/>
    <row r="78" spans="2:7" s="19" customFormat="1" x14ac:dyDescent="0.2"/>
    <row r="79" spans="2:7" s="19" customFormat="1" x14ac:dyDescent="0.2"/>
    <row r="80" spans="2:7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  <row r="304" s="19" customFormat="1" x14ac:dyDescent="0.2"/>
    <row r="305" s="19" customFormat="1" x14ac:dyDescent="0.2"/>
    <row r="306" s="19" customFormat="1" x14ac:dyDescent="0.2"/>
    <row r="307" s="19" customFormat="1" x14ac:dyDescent="0.2"/>
    <row r="308" s="19" customFormat="1" x14ac:dyDescent="0.2"/>
    <row r="309" s="19" customFormat="1" x14ac:dyDescent="0.2"/>
    <row r="310" s="19" customFormat="1" x14ac:dyDescent="0.2"/>
    <row r="311" s="19" customFormat="1" x14ac:dyDescent="0.2"/>
    <row r="312" s="19" customFormat="1" x14ac:dyDescent="0.2"/>
    <row r="313" s="19" customFormat="1" x14ac:dyDescent="0.2"/>
    <row r="314" s="19" customFormat="1" x14ac:dyDescent="0.2"/>
    <row r="315" s="19" customFormat="1" x14ac:dyDescent="0.2"/>
    <row r="316" s="19" customFormat="1" x14ac:dyDescent="0.2"/>
    <row r="317" s="19" customFormat="1" x14ac:dyDescent="0.2"/>
    <row r="318" s="19" customFormat="1" x14ac:dyDescent="0.2"/>
    <row r="319" s="19" customFormat="1" x14ac:dyDescent="0.2"/>
    <row r="320" s="19" customFormat="1" x14ac:dyDescent="0.2"/>
    <row r="321" s="19" customFormat="1" x14ac:dyDescent="0.2"/>
    <row r="322" s="19" customFormat="1" x14ac:dyDescent="0.2"/>
    <row r="323" s="19" customFormat="1" x14ac:dyDescent="0.2"/>
    <row r="324" s="19" customFormat="1" x14ac:dyDescent="0.2"/>
    <row r="325" s="19" customFormat="1" x14ac:dyDescent="0.2"/>
    <row r="326" s="19" customFormat="1" x14ac:dyDescent="0.2"/>
    <row r="327" s="19" customFormat="1" x14ac:dyDescent="0.2"/>
    <row r="328" s="19" customFormat="1" x14ac:dyDescent="0.2"/>
    <row r="329" s="19" customFormat="1" x14ac:dyDescent="0.2"/>
    <row r="330" s="19" customFormat="1" x14ac:dyDescent="0.2"/>
    <row r="331" s="19" customFormat="1" x14ac:dyDescent="0.2"/>
    <row r="332" s="19" customFormat="1" x14ac:dyDescent="0.2"/>
    <row r="333" s="19" customFormat="1" x14ac:dyDescent="0.2"/>
    <row r="334" s="19" customFormat="1" x14ac:dyDescent="0.2"/>
    <row r="335" s="19" customFormat="1" x14ac:dyDescent="0.2"/>
    <row r="336" s="19" customFormat="1" x14ac:dyDescent="0.2"/>
    <row r="337" s="19" customFormat="1" x14ac:dyDescent="0.2"/>
    <row r="338" s="19" customFormat="1" x14ac:dyDescent="0.2"/>
    <row r="339" s="19" customFormat="1" x14ac:dyDescent="0.2"/>
    <row r="340" s="19" customFormat="1" x14ac:dyDescent="0.2"/>
    <row r="341" s="19" customFormat="1" x14ac:dyDescent="0.2"/>
    <row r="342" s="19" customFormat="1" x14ac:dyDescent="0.2"/>
    <row r="343" s="19" customFormat="1" x14ac:dyDescent="0.2"/>
    <row r="344" s="19" customFormat="1" x14ac:dyDescent="0.2"/>
    <row r="345" s="19" customFormat="1" x14ac:dyDescent="0.2"/>
    <row r="346" s="19" customFormat="1" x14ac:dyDescent="0.2"/>
    <row r="347" s="19" customFormat="1" x14ac:dyDescent="0.2"/>
    <row r="348" s="19" customFormat="1" x14ac:dyDescent="0.2"/>
    <row r="349" s="19" customFormat="1" x14ac:dyDescent="0.2"/>
    <row r="350" s="19" customFormat="1" x14ac:dyDescent="0.2"/>
    <row r="351" s="19" customFormat="1" x14ac:dyDescent="0.2"/>
    <row r="352" s="19" customFormat="1" x14ac:dyDescent="0.2"/>
    <row r="353" s="19" customFormat="1" x14ac:dyDescent="0.2"/>
    <row r="354" s="19" customFormat="1" x14ac:dyDescent="0.2"/>
    <row r="355" s="19" customFormat="1" x14ac:dyDescent="0.2"/>
    <row r="356" s="19" customFormat="1" x14ac:dyDescent="0.2"/>
    <row r="357" s="19" customFormat="1" x14ac:dyDescent="0.2"/>
    <row r="358" s="19" customFormat="1" x14ac:dyDescent="0.2"/>
    <row r="359" s="19" customFormat="1" x14ac:dyDescent="0.2"/>
    <row r="360" s="19" customFormat="1" x14ac:dyDescent="0.2"/>
    <row r="361" s="19" customFormat="1" x14ac:dyDescent="0.2"/>
    <row r="362" s="19" customFormat="1" x14ac:dyDescent="0.2"/>
    <row r="363" s="19" customFormat="1" x14ac:dyDescent="0.2"/>
    <row r="364" s="19" customFormat="1" x14ac:dyDescent="0.2"/>
    <row r="365" s="19" customFormat="1" x14ac:dyDescent="0.2"/>
    <row r="366" s="19" customFormat="1" x14ac:dyDescent="0.2"/>
    <row r="367" s="19" customFormat="1" x14ac:dyDescent="0.2"/>
    <row r="368" s="19" customFormat="1" x14ac:dyDescent="0.2"/>
    <row r="369" s="19" customFormat="1" x14ac:dyDescent="0.2"/>
    <row r="370" s="19" customFormat="1" x14ac:dyDescent="0.2"/>
    <row r="371" s="19" customFormat="1" x14ac:dyDescent="0.2"/>
    <row r="372" s="19" customFormat="1" x14ac:dyDescent="0.2"/>
    <row r="373" s="19" customFormat="1" x14ac:dyDescent="0.2"/>
    <row r="374" s="19" customFormat="1" x14ac:dyDescent="0.2"/>
    <row r="375" s="19" customFormat="1" x14ac:dyDescent="0.2"/>
    <row r="376" s="19" customFormat="1" x14ac:dyDescent="0.2"/>
    <row r="377" s="19" customFormat="1" x14ac:dyDescent="0.2"/>
    <row r="378" s="19" customFormat="1" x14ac:dyDescent="0.2"/>
    <row r="379" s="19" customFormat="1" x14ac:dyDescent="0.2"/>
    <row r="380" s="19" customFormat="1" x14ac:dyDescent="0.2"/>
    <row r="381" s="19" customFormat="1" x14ac:dyDescent="0.2"/>
    <row r="382" s="19" customFormat="1" x14ac:dyDescent="0.2"/>
    <row r="383" s="19" customFormat="1" x14ac:dyDescent="0.2"/>
    <row r="384" s="19" customFormat="1" x14ac:dyDescent="0.2"/>
    <row r="385" s="19" customFormat="1" x14ac:dyDescent="0.2"/>
    <row r="386" s="19" customFormat="1" x14ac:dyDescent="0.2"/>
    <row r="387" s="19" customFormat="1" x14ac:dyDescent="0.2"/>
    <row r="388" s="19" customFormat="1" x14ac:dyDescent="0.2"/>
    <row r="389" s="19" customFormat="1" x14ac:dyDescent="0.2"/>
    <row r="390" s="19" customFormat="1" x14ac:dyDescent="0.2"/>
    <row r="391" s="19" customFormat="1" x14ac:dyDescent="0.2"/>
    <row r="392" s="19" customFormat="1" x14ac:dyDescent="0.2"/>
    <row r="393" s="19" customFormat="1" x14ac:dyDescent="0.2"/>
    <row r="394" s="19" customFormat="1" x14ac:dyDescent="0.2"/>
    <row r="395" s="19" customFormat="1" x14ac:dyDescent="0.2"/>
    <row r="396" s="19" customFormat="1" x14ac:dyDescent="0.2"/>
    <row r="397" s="19" customFormat="1" x14ac:dyDescent="0.2"/>
    <row r="398" s="19" customFormat="1" x14ac:dyDescent="0.2"/>
    <row r="399" s="19" customFormat="1" x14ac:dyDescent="0.2"/>
    <row r="400" s="19" customFormat="1" x14ac:dyDescent="0.2"/>
    <row r="401" s="19" customFormat="1" x14ac:dyDescent="0.2"/>
    <row r="402" s="19" customFormat="1" x14ac:dyDescent="0.2"/>
    <row r="403" s="19" customFormat="1" x14ac:dyDescent="0.2"/>
    <row r="404" s="19" customFormat="1" x14ac:dyDescent="0.2"/>
    <row r="405" s="19" customFormat="1" x14ac:dyDescent="0.2"/>
    <row r="406" s="19" customFormat="1" x14ac:dyDescent="0.2"/>
    <row r="407" s="19" customFormat="1" x14ac:dyDescent="0.2"/>
    <row r="408" s="19" customFormat="1" x14ac:dyDescent="0.2"/>
    <row r="409" s="19" customFormat="1" x14ac:dyDescent="0.2"/>
    <row r="410" s="19" customFormat="1" x14ac:dyDescent="0.2"/>
    <row r="411" s="19" customFormat="1" x14ac:dyDescent="0.2"/>
    <row r="412" s="19" customFormat="1" x14ac:dyDescent="0.2"/>
    <row r="413" s="19" customFormat="1" x14ac:dyDescent="0.2"/>
    <row r="414" s="19" customFormat="1" x14ac:dyDescent="0.2"/>
    <row r="415" s="19" customFormat="1" x14ac:dyDescent="0.2"/>
    <row r="416" s="19" customFormat="1" x14ac:dyDescent="0.2"/>
    <row r="417" s="19" customFormat="1" x14ac:dyDescent="0.2"/>
    <row r="418" s="19" customFormat="1" x14ac:dyDescent="0.2"/>
    <row r="419" s="19" customFormat="1" x14ac:dyDescent="0.2"/>
    <row r="420" s="19" customFormat="1" x14ac:dyDescent="0.2"/>
    <row r="421" s="19" customFormat="1" x14ac:dyDescent="0.2"/>
    <row r="422" s="19" customFormat="1" x14ac:dyDescent="0.2"/>
    <row r="423" s="19" customFormat="1" x14ac:dyDescent="0.2"/>
    <row r="424" s="19" customFormat="1" x14ac:dyDescent="0.2"/>
    <row r="425" s="19" customFormat="1" x14ac:dyDescent="0.2"/>
    <row r="426" s="19" customFormat="1" x14ac:dyDescent="0.2"/>
    <row r="427" s="19" customFormat="1" x14ac:dyDescent="0.2"/>
    <row r="428" s="19" customFormat="1" x14ac:dyDescent="0.2"/>
    <row r="429" s="19" customFormat="1" x14ac:dyDescent="0.2"/>
    <row r="430" s="19" customFormat="1" x14ac:dyDescent="0.2"/>
    <row r="431" s="19" customFormat="1" x14ac:dyDescent="0.2"/>
    <row r="432" s="19" customFormat="1" x14ac:dyDescent="0.2"/>
    <row r="433" s="19" customFormat="1" x14ac:dyDescent="0.2"/>
    <row r="434" s="19" customFormat="1" x14ac:dyDescent="0.2"/>
    <row r="435" s="19" customFormat="1" x14ac:dyDescent="0.2"/>
    <row r="436" s="19" customFormat="1" x14ac:dyDescent="0.2"/>
    <row r="437" s="19" customFormat="1" x14ac:dyDescent="0.2"/>
    <row r="438" s="19" customFormat="1" x14ac:dyDescent="0.2"/>
    <row r="439" s="19" customFormat="1" x14ac:dyDescent="0.2"/>
    <row r="440" s="19" customFormat="1" x14ac:dyDescent="0.2"/>
    <row r="441" s="19" customFormat="1" x14ac:dyDescent="0.2"/>
    <row r="442" s="19" customFormat="1" x14ac:dyDescent="0.2"/>
    <row r="443" s="19" customFormat="1" x14ac:dyDescent="0.2"/>
    <row r="444" s="19" customFormat="1" x14ac:dyDescent="0.2"/>
    <row r="445" s="19" customFormat="1" x14ac:dyDescent="0.2"/>
    <row r="446" s="19" customFormat="1" x14ac:dyDescent="0.2"/>
    <row r="447" s="19" customFormat="1" x14ac:dyDescent="0.2"/>
    <row r="448" s="19" customFormat="1" x14ac:dyDescent="0.2"/>
    <row r="449" s="19" customFormat="1" x14ac:dyDescent="0.2"/>
    <row r="450" s="19" customFormat="1" x14ac:dyDescent="0.2"/>
    <row r="451" s="19" customFormat="1" x14ac:dyDescent="0.2"/>
    <row r="452" s="19" customFormat="1" x14ac:dyDescent="0.2"/>
    <row r="453" s="19" customFormat="1" x14ac:dyDescent="0.2"/>
    <row r="454" s="19" customFormat="1" x14ac:dyDescent="0.2"/>
    <row r="455" s="19" customFormat="1" x14ac:dyDescent="0.2"/>
    <row r="456" s="19" customFormat="1" x14ac:dyDescent="0.2"/>
    <row r="457" s="19" customFormat="1" x14ac:dyDescent="0.2"/>
    <row r="458" s="19" customFormat="1" x14ac:dyDescent="0.2"/>
    <row r="459" s="19" customFormat="1" x14ac:dyDescent="0.2"/>
    <row r="460" s="19" customFormat="1" x14ac:dyDescent="0.2"/>
    <row r="461" s="19" customFormat="1" x14ac:dyDescent="0.2"/>
    <row r="462" s="19" customFormat="1" x14ac:dyDescent="0.2"/>
    <row r="463" s="19" customFormat="1" x14ac:dyDescent="0.2"/>
    <row r="464" s="19" customFormat="1" x14ac:dyDescent="0.2"/>
    <row r="465" s="19" customFormat="1" x14ac:dyDescent="0.2"/>
    <row r="466" s="19" customFormat="1" x14ac:dyDescent="0.2"/>
    <row r="467" s="19" customFormat="1" x14ac:dyDescent="0.2"/>
    <row r="468" s="19" customFormat="1" x14ac:dyDescent="0.2"/>
    <row r="469" s="19" customFormat="1" x14ac:dyDescent="0.2"/>
    <row r="470" s="19" customFormat="1" x14ac:dyDescent="0.2"/>
    <row r="471" s="19" customFormat="1" x14ac:dyDescent="0.2"/>
    <row r="472" s="19" customFormat="1" x14ac:dyDescent="0.2"/>
    <row r="473" s="19" customFormat="1" x14ac:dyDescent="0.2"/>
    <row r="474" s="19" customFormat="1" x14ac:dyDescent="0.2"/>
    <row r="475" s="19" customFormat="1" x14ac:dyDescent="0.2"/>
    <row r="476" s="19" customFormat="1" x14ac:dyDescent="0.2"/>
    <row r="477" s="19" customFormat="1" x14ac:dyDescent="0.2"/>
    <row r="478" s="19" customFormat="1" x14ac:dyDescent="0.2"/>
    <row r="479" s="19" customFormat="1" x14ac:dyDescent="0.2"/>
    <row r="480" s="19" customFormat="1" x14ac:dyDescent="0.2"/>
    <row r="481" s="19" customFormat="1" x14ac:dyDescent="0.2"/>
    <row r="482" s="19" customFormat="1" x14ac:dyDescent="0.2"/>
    <row r="483" s="19" customFormat="1" x14ac:dyDescent="0.2"/>
    <row r="484" s="19" customFormat="1" x14ac:dyDescent="0.2"/>
    <row r="485" s="19" customFormat="1" x14ac:dyDescent="0.2"/>
    <row r="486" s="19" customFormat="1" x14ac:dyDescent="0.2"/>
    <row r="487" s="19" customFormat="1" x14ac:dyDescent="0.2"/>
    <row r="488" s="19" customFormat="1" x14ac:dyDescent="0.2"/>
    <row r="489" s="19" customFormat="1" x14ac:dyDescent="0.2"/>
    <row r="490" s="19" customFormat="1" x14ac:dyDescent="0.2"/>
    <row r="491" s="19" customFormat="1" x14ac:dyDescent="0.2"/>
    <row r="492" s="19" customFormat="1" x14ac:dyDescent="0.2"/>
    <row r="493" s="19" customFormat="1" x14ac:dyDescent="0.2"/>
    <row r="494" s="19" customFormat="1" x14ac:dyDescent="0.2"/>
    <row r="495" s="19" customFormat="1" x14ac:dyDescent="0.2"/>
    <row r="496" s="19" customFormat="1" x14ac:dyDescent="0.2"/>
    <row r="497" s="19" customFormat="1" x14ac:dyDescent="0.2"/>
    <row r="498" s="19" customFormat="1" x14ac:dyDescent="0.2"/>
    <row r="499" s="19" customFormat="1" x14ac:dyDescent="0.2"/>
    <row r="500" s="19" customFormat="1" x14ac:dyDescent="0.2"/>
    <row r="501" s="19" customFormat="1" x14ac:dyDescent="0.2"/>
    <row r="502" s="19" customFormat="1" x14ac:dyDescent="0.2"/>
    <row r="503" s="19" customFormat="1" x14ac:dyDescent="0.2"/>
    <row r="504" s="19" customFormat="1" x14ac:dyDescent="0.2"/>
    <row r="505" s="19" customFormat="1" x14ac:dyDescent="0.2"/>
    <row r="506" s="19" customFormat="1" x14ac:dyDescent="0.2"/>
    <row r="507" s="19" customFormat="1" x14ac:dyDescent="0.2"/>
    <row r="508" s="19" customFormat="1" x14ac:dyDescent="0.2"/>
    <row r="509" s="19" customFormat="1" x14ac:dyDescent="0.2"/>
    <row r="510" s="19" customFormat="1" x14ac:dyDescent="0.2"/>
    <row r="511" s="19" customFormat="1" x14ac:dyDescent="0.2"/>
    <row r="512" s="19" customFormat="1" x14ac:dyDescent="0.2"/>
    <row r="513" s="19" customFormat="1" x14ac:dyDescent="0.2"/>
    <row r="514" s="19" customFormat="1" x14ac:dyDescent="0.2"/>
    <row r="515" s="19" customFormat="1" x14ac:dyDescent="0.2"/>
    <row r="516" s="19" customFormat="1" x14ac:dyDescent="0.2"/>
    <row r="517" s="19" customFormat="1" x14ac:dyDescent="0.2"/>
    <row r="518" s="19" customFormat="1" x14ac:dyDescent="0.2"/>
    <row r="519" s="19" customFormat="1" x14ac:dyDescent="0.2"/>
    <row r="520" s="19" customFormat="1" x14ac:dyDescent="0.2"/>
    <row r="521" s="19" customFormat="1" x14ac:dyDescent="0.2"/>
    <row r="522" s="19" customFormat="1" x14ac:dyDescent="0.2"/>
    <row r="523" s="19" customFormat="1" x14ac:dyDescent="0.2"/>
    <row r="524" s="19" customFormat="1" x14ac:dyDescent="0.2"/>
    <row r="525" s="19" customFormat="1" x14ac:dyDescent="0.2"/>
    <row r="526" s="19" customFormat="1" x14ac:dyDescent="0.2"/>
    <row r="527" s="19" customFormat="1" x14ac:dyDescent="0.2"/>
    <row r="528" s="19" customFormat="1" x14ac:dyDescent="0.2"/>
    <row r="529" s="19" customFormat="1" x14ac:dyDescent="0.2"/>
    <row r="530" s="19" customFormat="1" x14ac:dyDescent="0.2"/>
    <row r="531" s="19" customFormat="1" x14ac:dyDescent="0.2"/>
    <row r="532" s="19" customFormat="1" x14ac:dyDescent="0.2"/>
    <row r="533" s="19" customFormat="1" x14ac:dyDescent="0.2"/>
    <row r="534" s="19" customFormat="1" x14ac:dyDescent="0.2"/>
    <row r="535" s="19" customFormat="1" x14ac:dyDescent="0.2"/>
    <row r="536" s="19" customFormat="1" x14ac:dyDescent="0.2"/>
    <row r="537" s="19" customFormat="1" x14ac:dyDescent="0.2"/>
    <row r="538" s="19" customFormat="1" x14ac:dyDescent="0.2"/>
    <row r="539" s="19" customFormat="1" x14ac:dyDescent="0.2"/>
    <row r="540" s="19" customFormat="1" x14ac:dyDescent="0.2"/>
    <row r="541" s="19" customFormat="1" x14ac:dyDescent="0.2"/>
    <row r="542" s="19" customFormat="1" x14ac:dyDescent="0.2"/>
    <row r="543" s="19" customFormat="1" x14ac:dyDescent="0.2"/>
    <row r="544" s="19" customFormat="1" x14ac:dyDescent="0.2"/>
    <row r="545" s="19" customFormat="1" x14ac:dyDescent="0.2"/>
    <row r="546" s="19" customFormat="1" x14ac:dyDescent="0.2"/>
    <row r="547" s="19" customFormat="1" x14ac:dyDescent="0.2"/>
    <row r="548" s="19" customFormat="1" x14ac:dyDescent="0.2"/>
    <row r="549" s="19" customFormat="1" x14ac:dyDescent="0.2"/>
    <row r="550" s="19" customFormat="1" x14ac:dyDescent="0.2"/>
    <row r="551" s="19" customFormat="1" x14ac:dyDescent="0.2"/>
    <row r="552" s="19" customFormat="1" x14ac:dyDescent="0.2"/>
    <row r="553" s="19" customFormat="1" x14ac:dyDescent="0.2"/>
    <row r="554" s="19" customFormat="1" x14ac:dyDescent="0.2"/>
    <row r="555" s="19" customFormat="1" x14ac:dyDescent="0.2"/>
    <row r="556" s="19" customFormat="1" x14ac:dyDescent="0.2"/>
    <row r="557" s="19" customFormat="1" x14ac:dyDescent="0.2"/>
    <row r="558" s="19" customFormat="1" x14ac:dyDescent="0.2"/>
    <row r="559" s="19" customFormat="1" x14ac:dyDescent="0.2"/>
    <row r="560" s="19" customFormat="1" x14ac:dyDescent="0.2"/>
    <row r="561" s="19" customFormat="1" x14ac:dyDescent="0.2"/>
    <row r="562" s="19" customFormat="1" x14ac:dyDescent="0.2"/>
    <row r="563" s="19" customFormat="1" x14ac:dyDescent="0.2"/>
    <row r="564" s="19" customFormat="1" x14ac:dyDescent="0.2"/>
    <row r="565" s="19" customFormat="1" x14ac:dyDescent="0.2"/>
    <row r="566" s="19" customFormat="1" x14ac:dyDescent="0.2"/>
    <row r="567" s="19" customFormat="1" x14ac:dyDescent="0.2"/>
    <row r="568" s="19" customFormat="1" x14ac:dyDescent="0.2"/>
    <row r="569" s="19" customFormat="1" x14ac:dyDescent="0.2"/>
    <row r="570" s="19" customFormat="1" x14ac:dyDescent="0.2"/>
    <row r="571" s="19" customFormat="1" x14ac:dyDescent="0.2"/>
    <row r="572" s="19" customFormat="1" x14ac:dyDescent="0.2"/>
    <row r="573" s="19" customFormat="1" x14ac:dyDescent="0.2"/>
    <row r="574" s="19" customFormat="1" x14ac:dyDescent="0.2"/>
    <row r="575" s="19" customFormat="1" x14ac:dyDescent="0.2"/>
    <row r="576" s="19" customFormat="1" x14ac:dyDescent="0.2"/>
    <row r="577" s="19" customFormat="1" x14ac:dyDescent="0.2"/>
    <row r="578" s="19" customFormat="1" x14ac:dyDescent="0.2"/>
    <row r="579" s="19" customFormat="1" x14ac:dyDescent="0.2"/>
    <row r="580" s="19" customFormat="1" x14ac:dyDescent="0.2"/>
    <row r="581" s="19" customFormat="1" x14ac:dyDescent="0.2"/>
    <row r="582" s="19" customFormat="1" x14ac:dyDescent="0.2"/>
    <row r="583" s="19" customFormat="1" x14ac:dyDescent="0.2"/>
    <row r="584" s="19" customFormat="1" x14ac:dyDescent="0.2"/>
    <row r="585" s="19" customFormat="1" x14ac:dyDescent="0.2"/>
    <row r="586" s="19" customFormat="1" x14ac:dyDescent="0.2"/>
    <row r="587" s="19" customFormat="1" x14ac:dyDescent="0.2"/>
    <row r="588" s="19" customFormat="1" x14ac:dyDescent="0.2"/>
    <row r="589" s="19" customFormat="1" x14ac:dyDescent="0.2"/>
    <row r="590" s="19" customFormat="1" x14ac:dyDescent="0.2"/>
    <row r="591" s="19" customFormat="1" x14ac:dyDescent="0.2"/>
    <row r="592" s="19" customFormat="1" x14ac:dyDescent="0.2"/>
    <row r="593" s="19" customFormat="1" x14ac:dyDescent="0.2"/>
    <row r="594" s="19" customFormat="1" x14ac:dyDescent="0.2"/>
    <row r="595" s="19" customFormat="1" x14ac:dyDescent="0.2"/>
    <row r="596" s="19" customFormat="1" x14ac:dyDescent="0.2"/>
    <row r="597" s="19" customFormat="1" x14ac:dyDescent="0.2"/>
    <row r="598" s="19" customFormat="1" x14ac:dyDescent="0.2"/>
    <row r="599" s="19" customFormat="1" x14ac:dyDescent="0.2"/>
    <row r="600" s="19" customFormat="1" x14ac:dyDescent="0.2"/>
    <row r="601" s="19" customFormat="1" x14ac:dyDescent="0.2"/>
    <row r="602" s="19" customFormat="1" x14ac:dyDescent="0.2"/>
    <row r="603" s="19" customFormat="1" x14ac:dyDescent="0.2"/>
    <row r="604" s="19" customFormat="1" x14ac:dyDescent="0.2"/>
    <row r="605" s="19" customFormat="1" x14ac:dyDescent="0.2"/>
    <row r="606" s="19" customFormat="1" x14ac:dyDescent="0.2"/>
    <row r="607" s="19" customFormat="1" x14ac:dyDescent="0.2"/>
    <row r="608" s="19" customFormat="1" x14ac:dyDescent="0.2"/>
    <row r="609" s="19" customFormat="1" x14ac:dyDescent="0.2"/>
    <row r="610" s="19" customFormat="1" x14ac:dyDescent="0.2"/>
    <row r="611" s="19" customFormat="1" x14ac:dyDescent="0.2"/>
    <row r="612" s="19" customFormat="1" x14ac:dyDescent="0.2"/>
    <row r="613" s="19" customFormat="1" x14ac:dyDescent="0.2"/>
    <row r="614" s="19" customFormat="1" x14ac:dyDescent="0.2"/>
    <row r="615" s="19" customFormat="1" x14ac:dyDescent="0.2"/>
    <row r="616" s="19" customFormat="1" x14ac:dyDescent="0.2"/>
    <row r="617" s="19" customFormat="1" x14ac:dyDescent="0.2"/>
    <row r="618" s="19" customFormat="1" x14ac:dyDescent="0.2"/>
    <row r="619" s="19" customFormat="1" x14ac:dyDescent="0.2"/>
    <row r="620" s="19" customFormat="1" x14ac:dyDescent="0.2"/>
    <row r="621" s="19" customFormat="1" x14ac:dyDescent="0.2"/>
    <row r="622" s="19" customFormat="1" x14ac:dyDescent="0.2"/>
    <row r="623" s="19" customFormat="1" x14ac:dyDescent="0.2"/>
    <row r="624" s="19" customFormat="1" x14ac:dyDescent="0.2"/>
    <row r="625" s="19" customFormat="1" x14ac:dyDescent="0.2"/>
    <row r="626" s="19" customFormat="1" x14ac:dyDescent="0.2"/>
    <row r="627" s="19" customFormat="1" x14ac:dyDescent="0.2"/>
    <row r="628" s="19" customFormat="1" x14ac:dyDescent="0.2"/>
    <row r="629" s="19" customFormat="1" x14ac:dyDescent="0.2"/>
    <row r="630" s="19" customFormat="1" x14ac:dyDescent="0.2"/>
    <row r="631" s="19" customFormat="1" x14ac:dyDescent="0.2"/>
    <row r="632" s="19" customFormat="1" x14ac:dyDescent="0.2"/>
    <row r="633" s="19" customFormat="1" x14ac:dyDescent="0.2"/>
    <row r="634" s="19" customFormat="1" x14ac:dyDescent="0.2"/>
    <row r="635" s="19" customFormat="1" x14ac:dyDescent="0.2"/>
    <row r="636" s="19" customFormat="1" x14ac:dyDescent="0.2"/>
    <row r="637" s="19" customFormat="1" x14ac:dyDescent="0.2"/>
    <row r="638" s="19" customFormat="1" x14ac:dyDescent="0.2"/>
    <row r="639" s="19" customFormat="1" x14ac:dyDescent="0.2"/>
    <row r="640" s="19" customFormat="1" x14ac:dyDescent="0.2"/>
    <row r="641" s="19" customFormat="1" x14ac:dyDescent="0.2"/>
    <row r="642" s="19" customFormat="1" x14ac:dyDescent="0.2"/>
    <row r="643" s="19" customFormat="1" x14ac:dyDescent="0.2"/>
    <row r="644" s="19" customFormat="1" x14ac:dyDescent="0.2"/>
    <row r="645" s="19" customFormat="1" x14ac:dyDescent="0.2"/>
    <row r="646" s="19" customFormat="1" x14ac:dyDescent="0.2"/>
    <row r="647" s="19" customFormat="1" x14ac:dyDescent="0.2"/>
    <row r="648" s="19" customFormat="1" x14ac:dyDescent="0.2"/>
    <row r="649" s="19" customFormat="1" x14ac:dyDescent="0.2"/>
    <row r="650" s="19" customFormat="1" x14ac:dyDescent="0.2"/>
    <row r="651" s="19" customFormat="1" x14ac:dyDescent="0.2"/>
    <row r="652" s="19" customFormat="1" x14ac:dyDescent="0.2"/>
    <row r="653" s="19" customFormat="1" x14ac:dyDescent="0.2"/>
    <row r="654" s="19" customFormat="1" x14ac:dyDescent="0.2"/>
    <row r="655" s="19" customFormat="1" x14ac:dyDescent="0.2"/>
    <row r="656" s="19" customFormat="1" x14ac:dyDescent="0.2"/>
    <row r="657" s="19" customFormat="1" x14ac:dyDescent="0.2"/>
    <row r="658" s="19" customFormat="1" x14ac:dyDescent="0.2"/>
    <row r="659" s="19" customFormat="1" x14ac:dyDescent="0.2"/>
    <row r="660" s="19" customFormat="1" x14ac:dyDescent="0.2"/>
    <row r="661" s="19" customFormat="1" x14ac:dyDescent="0.2"/>
    <row r="662" s="19" customFormat="1" x14ac:dyDescent="0.2"/>
    <row r="663" s="19" customFormat="1" x14ac:dyDescent="0.2"/>
    <row r="664" s="19" customFormat="1" x14ac:dyDescent="0.2"/>
    <row r="665" s="19" customFormat="1" x14ac:dyDescent="0.2"/>
    <row r="666" s="19" customFormat="1" x14ac:dyDescent="0.2"/>
    <row r="667" s="19" customFormat="1" x14ac:dyDescent="0.2"/>
    <row r="668" s="19" customFormat="1" x14ac:dyDescent="0.2"/>
    <row r="669" s="19" customFormat="1" x14ac:dyDescent="0.2"/>
    <row r="670" s="19" customFormat="1" x14ac:dyDescent="0.2"/>
    <row r="671" s="19" customFormat="1" x14ac:dyDescent="0.2"/>
    <row r="672" s="19" customFormat="1" x14ac:dyDescent="0.2"/>
    <row r="673" s="19" customFormat="1" x14ac:dyDescent="0.2"/>
    <row r="674" s="19" customFormat="1" x14ac:dyDescent="0.2"/>
    <row r="675" s="19" customFormat="1" x14ac:dyDescent="0.2"/>
    <row r="676" s="19" customFormat="1" x14ac:dyDescent="0.2"/>
    <row r="677" s="19" customFormat="1" x14ac:dyDescent="0.2"/>
    <row r="678" s="19" customFormat="1" x14ac:dyDescent="0.2"/>
    <row r="679" s="19" customFormat="1" x14ac:dyDescent="0.2"/>
    <row r="680" s="19" customFormat="1" x14ac:dyDescent="0.2"/>
    <row r="681" s="19" customFormat="1" x14ac:dyDescent="0.2"/>
    <row r="682" s="19" customFormat="1" x14ac:dyDescent="0.2"/>
    <row r="683" s="19" customFormat="1" x14ac:dyDescent="0.2"/>
    <row r="684" s="19" customFormat="1" x14ac:dyDescent="0.2"/>
    <row r="685" s="19" customFormat="1" x14ac:dyDescent="0.2"/>
    <row r="686" s="19" customFormat="1" x14ac:dyDescent="0.2"/>
    <row r="687" s="19" customFormat="1" x14ac:dyDescent="0.2"/>
    <row r="688" s="19" customFormat="1" x14ac:dyDescent="0.2"/>
    <row r="689" s="19" customFormat="1" x14ac:dyDescent="0.2"/>
    <row r="690" s="19" customFormat="1" x14ac:dyDescent="0.2"/>
    <row r="691" s="19" customFormat="1" x14ac:dyDescent="0.2"/>
    <row r="692" s="19" customFormat="1" x14ac:dyDescent="0.2"/>
    <row r="693" s="19" customFormat="1" x14ac:dyDescent="0.2"/>
    <row r="694" s="19" customFormat="1" x14ac:dyDescent="0.2"/>
    <row r="695" s="19" customFormat="1" x14ac:dyDescent="0.2"/>
    <row r="696" s="19" customFormat="1" x14ac:dyDescent="0.2"/>
    <row r="697" s="19" customFormat="1" x14ac:dyDescent="0.2"/>
    <row r="698" s="19" customFormat="1" x14ac:dyDescent="0.2"/>
    <row r="699" s="19" customFormat="1" x14ac:dyDescent="0.2"/>
    <row r="700" s="19" customFormat="1" x14ac:dyDescent="0.2"/>
    <row r="701" s="19" customFormat="1" x14ac:dyDescent="0.2"/>
    <row r="702" s="19" customFormat="1" x14ac:dyDescent="0.2"/>
    <row r="703" s="19" customFormat="1" x14ac:dyDescent="0.2"/>
    <row r="704" s="19" customFormat="1" x14ac:dyDescent="0.2"/>
    <row r="705" s="19" customFormat="1" x14ac:dyDescent="0.2"/>
    <row r="706" s="19" customFormat="1" x14ac:dyDescent="0.2"/>
    <row r="707" s="19" customFormat="1" x14ac:dyDescent="0.2"/>
    <row r="708" s="19" customFormat="1" x14ac:dyDescent="0.2"/>
    <row r="709" s="19" customFormat="1" x14ac:dyDescent="0.2"/>
    <row r="710" s="19" customFormat="1" x14ac:dyDescent="0.2"/>
    <row r="711" s="19" customFormat="1" x14ac:dyDescent="0.2"/>
    <row r="712" s="19" customFormat="1" x14ac:dyDescent="0.2"/>
    <row r="713" s="19" customFormat="1" x14ac:dyDescent="0.2"/>
    <row r="714" s="19" customFormat="1" x14ac:dyDescent="0.2"/>
    <row r="715" s="19" customFormat="1" x14ac:dyDescent="0.2"/>
    <row r="716" s="19" customFormat="1" x14ac:dyDescent="0.2"/>
    <row r="717" s="19" customFormat="1" x14ac:dyDescent="0.2"/>
    <row r="718" s="19" customFormat="1" x14ac:dyDescent="0.2"/>
    <row r="719" s="19" customFormat="1" x14ac:dyDescent="0.2"/>
    <row r="720" s="19" customFormat="1" x14ac:dyDescent="0.2"/>
    <row r="721" s="19" customFormat="1" x14ac:dyDescent="0.2"/>
    <row r="722" s="19" customFormat="1" x14ac:dyDescent="0.2"/>
    <row r="723" s="19" customFormat="1" x14ac:dyDescent="0.2"/>
    <row r="724" s="19" customFormat="1" x14ac:dyDescent="0.2"/>
    <row r="725" s="19" customFormat="1" x14ac:dyDescent="0.2"/>
    <row r="726" s="19" customFormat="1" x14ac:dyDescent="0.2"/>
    <row r="727" s="19" customFormat="1" x14ac:dyDescent="0.2"/>
    <row r="728" s="19" customFormat="1" x14ac:dyDescent="0.2"/>
    <row r="729" s="19" customFormat="1" x14ac:dyDescent="0.2"/>
    <row r="730" s="19" customFormat="1" x14ac:dyDescent="0.2"/>
    <row r="731" s="19" customFormat="1" x14ac:dyDescent="0.2"/>
    <row r="732" s="19" customFormat="1" x14ac:dyDescent="0.2"/>
    <row r="733" s="19" customFormat="1" x14ac:dyDescent="0.2"/>
    <row r="734" s="19" customFormat="1" x14ac:dyDescent="0.2"/>
    <row r="735" s="19" customFormat="1" x14ac:dyDescent="0.2"/>
    <row r="736" s="19" customFormat="1" x14ac:dyDescent="0.2"/>
    <row r="737" s="19" customFormat="1" x14ac:dyDescent="0.2"/>
    <row r="738" s="19" customFormat="1" x14ac:dyDescent="0.2"/>
    <row r="739" s="19" customFormat="1" x14ac:dyDescent="0.2"/>
    <row r="740" s="19" customFormat="1" x14ac:dyDescent="0.2"/>
    <row r="741" s="19" customFormat="1" x14ac:dyDescent="0.2"/>
    <row r="742" s="19" customFormat="1" x14ac:dyDescent="0.2"/>
    <row r="743" s="19" customFormat="1" x14ac:dyDescent="0.2"/>
    <row r="744" s="19" customFormat="1" x14ac:dyDescent="0.2"/>
    <row r="745" s="19" customFormat="1" x14ac:dyDescent="0.2"/>
    <row r="746" s="19" customFormat="1" x14ac:dyDescent="0.2"/>
    <row r="747" s="19" customFormat="1" x14ac:dyDescent="0.2"/>
    <row r="748" s="19" customFormat="1" x14ac:dyDescent="0.2"/>
    <row r="749" s="19" customFormat="1" x14ac:dyDescent="0.2"/>
    <row r="750" s="19" customFormat="1" x14ac:dyDescent="0.2"/>
    <row r="751" s="19" customFormat="1" x14ac:dyDescent="0.2"/>
    <row r="752" s="19" customFormat="1" x14ac:dyDescent="0.2"/>
    <row r="753" s="19" customFormat="1" x14ac:dyDescent="0.2"/>
    <row r="754" s="19" customFormat="1" x14ac:dyDescent="0.2"/>
    <row r="755" s="19" customFormat="1" x14ac:dyDescent="0.2"/>
    <row r="756" s="19" customFormat="1" x14ac:dyDescent="0.2"/>
    <row r="757" s="19" customFormat="1" x14ac:dyDescent="0.2"/>
    <row r="758" s="19" customFormat="1" x14ac:dyDescent="0.2"/>
    <row r="759" s="19" customFormat="1" x14ac:dyDescent="0.2"/>
    <row r="760" s="19" customFormat="1" x14ac:dyDescent="0.2"/>
    <row r="761" s="19" customFormat="1" x14ac:dyDescent="0.2"/>
    <row r="762" s="19" customFormat="1" x14ac:dyDescent="0.2"/>
    <row r="763" s="19" customFormat="1" x14ac:dyDescent="0.2"/>
    <row r="764" s="19" customFormat="1" x14ac:dyDescent="0.2"/>
    <row r="765" s="19" customFormat="1" x14ac:dyDescent="0.2"/>
    <row r="766" s="19" customFormat="1" x14ac:dyDescent="0.2"/>
    <row r="767" s="19" customFormat="1" x14ac:dyDescent="0.2"/>
    <row r="768" s="19" customFormat="1" x14ac:dyDescent="0.2"/>
    <row r="769" s="19" customFormat="1" x14ac:dyDescent="0.2"/>
    <row r="770" s="19" customFormat="1" x14ac:dyDescent="0.2"/>
    <row r="771" s="19" customFormat="1" x14ac:dyDescent="0.2"/>
    <row r="772" s="19" customFormat="1" x14ac:dyDescent="0.2"/>
    <row r="773" s="19" customFormat="1" x14ac:dyDescent="0.2"/>
    <row r="774" s="19" customFormat="1" x14ac:dyDescent="0.2"/>
    <row r="775" s="19" customFormat="1" x14ac:dyDescent="0.2"/>
    <row r="776" s="19" customFormat="1" x14ac:dyDescent="0.2"/>
    <row r="777" s="19" customFormat="1" x14ac:dyDescent="0.2"/>
    <row r="778" s="19" customFormat="1" x14ac:dyDescent="0.2"/>
    <row r="779" s="19" customFormat="1" x14ac:dyDescent="0.2"/>
    <row r="780" s="19" customFormat="1" x14ac:dyDescent="0.2"/>
    <row r="781" s="19" customFormat="1" x14ac:dyDescent="0.2"/>
    <row r="782" s="19" customFormat="1" x14ac:dyDescent="0.2"/>
    <row r="783" s="19" customFormat="1" x14ac:dyDescent="0.2"/>
    <row r="784" s="19" customFormat="1" x14ac:dyDescent="0.2"/>
    <row r="785" s="19" customFormat="1" x14ac:dyDescent="0.2"/>
    <row r="786" s="19" customFormat="1" x14ac:dyDescent="0.2"/>
    <row r="787" s="19" customFormat="1" x14ac:dyDescent="0.2"/>
    <row r="788" s="19" customFormat="1" x14ac:dyDescent="0.2"/>
    <row r="789" s="19" customFormat="1" x14ac:dyDescent="0.2"/>
    <row r="790" s="19" customFormat="1" x14ac:dyDescent="0.2"/>
    <row r="791" s="19" customFormat="1" x14ac:dyDescent="0.2"/>
    <row r="792" s="19" customFormat="1" x14ac:dyDescent="0.2"/>
    <row r="793" s="19" customFormat="1" x14ac:dyDescent="0.2"/>
    <row r="794" s="19" customFormat="1" x14ac:dyDescent="0.2"/>
    <row r="795" s="19" customFormat="1" x14ac:dyDescent="0.2"/>
    <row r="796" s="19" customFormat="1" x14ac:dyDescent="0.2"/>
    <row r="797" s="19" customFormat="1" x14ac:dyDescent="0.2"/>
    <row r="798" s="19" customFormat="1" x14ac:dyDescent="0.2"/>
    <row r="799" s="19" customFormat="1" x14ac:dyDescent="0.2"/>
    <row r="800" s="19" customFormat="1" x14ac:dyDescent="0.2"/>
    <row r="801" s="19" customFormat="1" x14ac:dyDescent="0.2"/>
    <row r="802" s="19" customFormat="1" x14ac:dyDescent="0.2"/>
    <row r="803" s="19" customFormat="1" x14ac:dyDescent="0.2"/>
    <row r="804" s="19" customFormat="1" x14ac:dyDescent="0.2"/>
    <row r="805" s="19" customFormat="1" x14ac:dyDescent="0.2"/>
    <row r="806" s="19" customFormat="1" x14ac:dyDescent="0.2"/>
    <row r="807" s="19" customFormat="1" x14ac:dyDescent="0.2"/>
    <row r="808" s="19" customFormat="1" x14ac:dyDescent="0.2"/>
    <row r="809" s="19" customFormat="1" x14ac:dyDescent="0.2"/>
    <row r="810" s="19" customFormat="1" x14ac:dyDescent="0.2"/>
    <row r="811" s="19" customFormat="1" x14ac:dyDescent="0.2"/>
    <row r="812" s="19" customFormat="1" x14ac:dyDescent="0.2"/>
    <row r="813" s="19" customFormat="1" x14ac:dyDescent="0.2"/>
    <row r="814" s="19" customFormat="1" x14ac:dyDescent="0.2"/>
    <row r="815" s="19" customFormat="1" x14ac:dyDescent="0.2"/>
    <row r="816" s="19" customFormat="1" x14ac:dyDescent="0.2"/>
    <row r="817" s="19" customFormat="1" x14ac:dyDescent="0.2"/>
    <row r="818" s="19" customFormat="1" x14ac:dyDescent="0.2"/>
    <row r="819" s="19" customFormat="1" x14ac:dyDescent="0.2"/>
    <row r="820" s="19" customFormat="1" x14ac:dyDescent="0.2"/>
    <row r="821" s="19" customFormat="1" x14ac:dyDescent="0.2"/>
    <row r="822" s="19" customFormat="1" x14ac:dyDescent="0.2"/>
    <row r="823" s="19" customFormat="1" x14ac:dyDescent="0.2"/>
    <row r="824" s="19" customFormat="1" x14ac:dyDescent="0.2"/>
    <row r="825" s="19" customFormat="1" x14ac:dyDescent="0.2"/>
    <row r="826" s="19" customFormat="1" x14ac:dyDescent="0.2"/>
    <row r="827" s="19" customFormat="1" x14ac:dyDescent="0.2"/>
    <row r="828" s="19" customFormat="1" x14ac:dyDescent="0.2"/>
    <row r="829" s="19" customFormat="1" x14ac:dyDescent="0.2"/>
    <row r="830" s="19" customFormat="1" x14ac:dyDescent="0.2"/>
    <row r="831" s="19" customFormat="1" x14ac:dyDescent="0.2"/>
    <row r="832" s="19" customFormat="1" x14ac:dyDescent="0.2"/>
    <row r="833" s="19" customFormat="1" x14ac:dyDescent="0.2"/>
    <row r="834" s="19" customFormat="1" x14ac:dyDescent="0.2"/>
    <row r="835" s="19" customFormat="1" x14ac:dyDescent="0.2"/>
    <row r="836" s="19" customFormat="1" x14ac:dyDescent="0.2"/>
    <row r="837" s="19" customFormat="1" x14ac:dyDescent="0.2"/>
    <row r="838" s="19" customFormat="1" x14ac:dyDescent="0.2"/>
    <row r="839" s="19" customFormat="1" x14ac:dyDescent="0.2"/>
    <row r="840" s="19" customFormat="1" x14ac:dyDescent="0.2"/>
    <row r="841" s="19" customFormat="1" x14ac:dyDescent="0.2"/>
    <row r="842" s="19" customFormat="1" x14ac:dyDescent="0.2"/>
    <row r="843" s="19" customFormat="1" x14ac:dyDescent="0.2"/>
    <row r="844" s="19" customFormat="1" x14ac:dyDescent="0.2"/>
    <row r="845" s="19" customFormat="1" x14ac:dyDescent="0.2"/>
    <row r="846" s="19" customFormat="1" x14ac:dyDescent="0.2"/>
    <row r="847" s="19" customFormat="1" x14ac:dyDescent="0.2"/>
    <row r="848" s="19" customFormat="1" x14ac:dyDescent="0.2"/>
    <row r="849" s="19" customFormat="1" x14ac:dyDescent="0.2"/>
    <row r="850" s="19" customFormat="1" x14ac:dyDescent="0.2"/>
    <row r="851" s="19" customFormat="1" x14ac:dyDescent="0.2"/>
    <row r="852" s="19" customFormat="1" x14ac:dyDescent="0.2"/>
    <row r="853" s="19" customFormat="1" x14ac:dyDescent="0.2"/>
    <row r="854" s="19" customFormat="1" x14ac:dyDescent="0.2"/>
    <row r="855" s="19" customFormat="1" x14ac:dyDescent="0.2"/>
    <row r="856" s="19" customFormat="1" x14ac:dyDescent="0.2"/>
    <row r="857" s="19" customFormat="1" x14ac:dyDescent="0.2"/>
    <row r="858" s="19" customFormat="1" x14ac:dyDescent="0.2"/>
    <row r="859" s="19" customFormat="1" x14ac:dyDescent="0.2"/>
    <row r="860" s="19" customFormat="1" x14ac:dyDescent="0.2"/>
    <row r="861" s="19" customFormat="1" x14ac:dyDescent="0.2"/>
    <row r="862" s="19" customFormat="1" x14ac:dyDescent="0.2"/>
    <row r="863" s="19" customFormat="1" x14ac:dyDescent="0.2"/>
    <row r="864" s="19" customFormat="1" x14ac:dyDescent="0.2"/>
    <row r="865" s="19" customFormat="1" x14ac:dyDescent="0.2"/>
    <row r="866" s="19" customFormat="1" x14ac:dyDescent="0.2"/>
    <row r="867" s="19" customFormat="1" x14ac:dyDescent="0.2"/>
    <row r="868" s="19" customFormat="1" x14ac:dyDescent="0.2"/>
    <row r="869" s="19" customFormat="1" x14ac:dyDescent="0.2"/>
    <row r="870" s="19" customFormat="1" x14ac:dyDescent="0.2"/>
    <row r="871" s="19" customFormat="1" x14ac:dyDescent="0.2"/>
    <row r="872" s="19" customFormat="1" x14ac:dyDescent="0.2"/>
    <row r="873" s="19" customFormat="1" x14ac:dyDescent="0.2"/>
    <row r="874" s="19" customFormat="1" x14ac:dyDescent="0.2"/>
    <row r="875" s="19" customFormat="1" x14ac:dyDescent="0.2"/>
    <row r="876" s="19" customFormat="1" x14ac:dyDescent="0.2"/>
    <row r="877" s="19" customFormat="1" x14ac:dyDescent="0.2"/>
    <row r="878" s="19" customFormat="1" x14ac:dyDescent="0.2"/>
    <row r="879" s="19" customFormat="1" x14ac:dyDescent="0.2"/>
    <row r="880" s="19" customFormat="1" x14ac:dyDescent="0.2"/>
    <row r="881" s="19" customFormat="1" x14ac:dyDescent="0.2"/>
    <row r="882" s="19" customFormat="1" x14ac:dyDescent="0.2"/>
    <row r="883" s="19" customFormat="1" x14ac:dyDescent="0.2"/>
    <row r="884" s="19" customFormat="1" x14ac:dyDescent="0.2"/>
    <row r="885" s="19" customFormat="1" x14ac:dyDescent="0.2"/>
    <row r="886" s="19" customFormat="1" x14ac:dyDescent="0.2"/>
    <row r="887" s="19" customFormat="1" x14ac:dyDescent="0.2"/>
    <row r="888" s="19" customFormat="1" x14ac:dyDescent="0.2"/>
    <row r="889" s="19" customFormat="1" x14ac:dyDescent="0.2"/>
    <row r="890" s="19" customFormat="1" x14ac:dyDescent="0.2"/>
    <row r="891" s="19" customFormat="1" x14ac:dyDescent="0.2"/>
    <row r="892" s="19" customFormat="1" x14ac:dyDescent="0.2"/>
    <row r="893" s="19" customFormat="1" x14ac:dyDescent="0.2"/>
    <row r="894" s="19" customFormat="1" x14ac:dyDescent="0.2"/>
    <row r="895" s="19" customFormat="1" x14ac:dyDescent="0.2"/>
    <row r="896" s="19" customFormat="1" x14ac:dyDescent="0.2"/>
    <row r="897" s="19" customFormat="1" x14ac:dyDescent="0.2"/>
    <row r="898" s="19" customFormat="1" x14ac:dyDescent="0.2"/>
    <row r="899" s="19" customFormat="1" x14ac:dyDescent="0.2"/>
    <row r="900" s="19" customFormat="1" x14ac:dyDescent="0.2"/>
    <row r="901" s="19" customFormat="1" x14ac:dyDescent="0.2"/>
    <row r="902" s="19" customFormat="1" x14ac:dyDescent="0.2"/>
    <row r="903" s="19" customFormat="1" x14ac:dyDescent="0.2"/>
    <row r="904" s="19" customFormat="1" x14ac:dyDescent="0.2"/>
    <row r="905" s="19" customFormat="1" x14ac:dyDescent="0.2"/>
    <row r="906" s="19" customFormat="1" x14ac:dyDescent="0.2"/>
    <row r="907" s="19" customFormat="1" x14ac:dyDescent="0.2"/>
    <row r="908" s="19" customFormat="1" x14ac:dyDescent="0.2"/>
    <row r="909" s="19" customFormat="1" x14ac:dyDescent="0.2"/>
    <row r="910" s="19" customFormat="1" x14ac:dyDescent="0.2"/>
    <row r="911" s="19" customFormat="1" x14ac:dyDescent="0.2"/>
    <row r="912" s="19" customFormat="1" x14ac:dyDescent="0.2"/>
    <row r="913" s="19" customFormat="1" x14ac:dyDescent="0.2"/>
    <row r="914" s="19" customFormat="1" x14ac:dyDescent="0.2"/>
    <row r="915" s="19" customFormat="1" x14ac:dyDescent="0.2"/>
    <row r="916" s="19" customFormat="1" x14ac:dyDescent="0.2"/>
    <row r="917" s="19" customFormat="1" x14ac:dyDescent="0.2"/>
    <row r="918" s="19" customFormat="1" x14ac:dyDescent="0.2"/>
    <row r="919" s="19" customFormat="1" x14ac:dyDescent="0.2"/>
    <row r="920" s="19" customFormat="1" x14ac:dyDescent="0.2"/>
    <row r="921" s="19" customFormat="1" x14ac:dyDescent="0.2"/>
    <row r="922" s="19" customFormat="1" x14ac:dyDescent="0.2"/>
    <row r="923" s="19" customFormat="1" x14ac:dyDescent="0.2"/>
    <row r="924" s="19" customFormat="1" x14ac:dyDescent="0.2"/>
    <row r="925" s="19" customFormat="1" x14ac:dyDescent="0.2"/>
    <row r="926" s="19" customFormat="1" x14ac:dyDescent="0.2"/>
    <row r="927" s="19" customFormat="1" x14ac:dyDescent="0.2"/>
    <row r="928" s="19" customFormat="1" x14ac:dyDescent="0.2"/>
    <row r="929" s="19" customFormat="1" x14ac:dyDescent="0.2"/>
    <row r="930" s="19" customFormat="1" x14ac:dyDescent="0.2"/>
    <row r="931" s="19" customFormat="1" x14ac:dyDescent="0.2"/>
    <row r="932" s="19" customFormat="1" x14ac:dyDescent="0.2"/>
    <row r="933" s="19" customFormat="1" x14ac:dyDescent="0.2"/>
    <row r="934" s="19" customFormat="1" x14ac:dyDescent="0.2"/>
    <row r="935" s="19" customFormat="1" x14ac:dyDescent="0.2"/>
    <row r="936" s="19" customFormat="1" x14ac:dyDescent="0.2"/>
    <row r="937" s="19" customFormat="1" x14ac:dyDescent="0.2"/>
    <row r="938" s="19" customFormat="1" x14ac:dyDescent="0.2"/>
    <row r="939" s="19" customFormat="1" x14ac:dyDescent="0.2"/>
    <row r="940" s="19" customFormat="1" x14ac:dyDescent="0.2"/>
    <row r="941" s="19" customFormat="1" x14ac:dyDescent="0.2"/>
    <row r="942" s="19" customFormat="1" x14ac:dyDescent="0.2"/>
    <row r="943" s="19" customFormat="1" x14ac:dyDescent="0.2"/>
    <row r="944" s="19" customFormat="1" x14ac:dyDescent="0.2"/>
    <row r="945" s="19" customFormat="1" x14ac:dyDescent="0.2"/>
    <row r="946" s="19" customFormat="1" x14ac:dyDescent="0.2"/>
    <row r="947" s="19" customFormat="1" x14ac:dyDescent="0.2"/>
    <row r="948" s="19" customFormat="1" x14ac:dyDescent="0.2"/>
    <row r="949" s="19" customFormat="1" x14ac:dyDescent="0.2"/>
    <row r="950" s="19" customFormat="1" x14ac:dyDescent="0.2"/>
    <row r="951" s="19" customFormat="1" x14ac:dyDescent="0.2"/>
    <row r="952" s="19" customFormat="1" x14ac:dyDescent="0.2"/>
    <row r="953" s="19" customFormat="1" x14ac:dyDescent="0.2"/>
    <row r="954" s="19" customFormat="1" x14ac:dyDescent="0.2"/>
    <row r="955" s="19" customFormat="1" x14ac:dyDescent="0.2"/>
    <row r="956" s="19" customFormat="1" x14ac:dyDescent="0.2"/>
    <row r="957" s="19" customFormat="1" x14ac:dyDescent="0.2"/>
    <row r="958" s="19" customFormat="1" x14ac:dyDescent="0.2"/>
    <row r="959" s="19" customFormat="1" x14ac:dyDescent="0.2"/>
    <row r="960" s="19" customFormat="1" x14ac:dyDescent="0.2"/>
    <row r="961" s="19" customFormat="1" x14ac:dyDescent="0.2"/>
    <row r="962" s="19" customFormat="1" x14ac:dyDescent="0.2"/>
    <row r="963" s="19" customFormat="1" x14ac:dyDescent="0.2"/>
    <row r="964" s="19" customFormat="1" x14ac:dyDescent="0.2"/>
    <row r="965" s="19" customFormat="1" x14ac:dyDescent="0.2"/>
    <row r="966" s="19" customFormat="1" x14ac:dyDescent="0.2"/>
    <row r="967" s="19" customFormat="1" x14ac:dyDescent="0.2"/>
    <row r="968" s="19" customFormat="1" x14ac:dyDescent="0.2"/>
    <row r="969" s="19" customFormat="1" x14ac:dyDescent="0.2"/>
    <row r="970" s="19" customFormat="1" x14ac:dyDescent="0.2"/>
    <row r="971" s="19" customFormat="1" x14ac:dyDescent="0.2"/>
    <row r="972" s="19" customFormat="1" x14ac:dyDescent="0.2"/>
    <row r="973" s="19" customFormat="1" x14ac:dyDescent="0.2"/>
    <row r="974" s="19" customFormat="1" x14ac:dyDescent="0.2"/>
    <row r="975" s="19" customFormat="1" x14ac:dyDescent="0.2"/>
    <row r="976" s="19" customFormat="1" x14ac:dyDescent="0.2"/>
    <row r="977" s="19" customFormat="1" x14ac:dyDescent="0.2"/>
    <row r="978" s="19" customFormat="1" x14ac:dyDescent="0.2"/>
    <row r="979" s="19" customFormat="1" x14ac:dyDescent="0.2"/>
    <row r="980" s="19" customFormat="1" x14ac:dyDescent="0.2"/>
    <row r="981" s="19" customFormat="1" x14ac:dyDescent="0.2"/>
    <row r="982" s="19" customFormat="1" x14ac:dyDescent="0.2"/>
    <row r="983" s="19" customFormat="1" x14ac:dyDescent="0.2"/>
    <row r="984" s="19" customFormat="1" x14ac:dyDescent="0.2"/>
    <row r="985" s="19" customFormat="1" x14ac:dyDescent="0.2"/>
    <row r="986" s="19" customFormat="1" x14ac:dyDescent="0.2"/>
    <row r="987" s="19" customFormat="1" x14ac:dyDescent="0.2"/>
    <row r="988" s="19" customFormat="1" x14ac:dyDescent="0.2"/>
    <row r="989" s="19" customFormat="1" x14ac:dyDescent="0.2"/>
    <row r="990" s="19" customFormat="1" x14ac:dyDescent="0.2"/>
    <row r="991" s="19" customFormat="1" x14ac:dyDescent="0.2"/>
    <row r="992" s="19" customFormat="1" x14ac:dyDescent="0.2"/>
    <row r="993" s="19" customFormat="1" x14ac:dyDescent="0.2"/>
    <row r="994" s="19" customFormat="1" x14ac:dyDescent="0.2"/>
    <row r="995" s="19" customFormat="1" x14ac:dyDescent="0.2"/>
    <row r="996" s="19" customFormat="1" x14ac:dyDescent="0.2"/>
    <row r="997" s="19" customFormat="1" x14ac:dyDescent="0.2"/>
    <row r="998" s="19" customFormat="1" x14ac:dyDescent="0.2"/>
    <row r="999" s="19" customFormat="1" x14ac:dyDescent="0.2"/>
    <row r="1000" s="19" customFormat="1" x14ac:dyDescent="0.2"/>
    <row r="1001" s="19" customFormat="1" x14ac:dyDescent="0.2"/>
    <row r="1002" s="19" customFormat="1" x14ac:dyDescent="0.2"/>
    <row r="1003" s="19" customFormat="1" x14ac:dyDescent="0.2"/>
    <row r="1004" s="19" customFormat="1" x14ac:dyDescent="0.2"/>
    <row r="1005" s="19" customFormat="1" x14ac:dyDescent="0.2"/>
    <row r="1006" s="19" customFormat="1" x14ac:dyDescent="0.2"/>
    <row r="1007" s="19" customFormat="1" x14ac:dyDescent="0.2"/>
    <row r="1008" s="19" customFormat="1" x14ac:dyDescent="0.2"/>
    <row r="1009" s="19" customFormat="1" x14ac:dyDescent="0.2"/>
    <row r="1010" s="19" customFormat="1" x14ac:dyDescent="0.2"/>
    <row r="1011" s="19" customFormat="1" x14ac:dyDescent="0.2"/>
    <row r="1012" s="19" customFormat="1" x14ac:dyDescent="0.2"/>
    <row r="1013" s="19" customFormat="1" x14ac:dyDescent="0.2"/>
    <row r="1014" s="19" customFormat="1" x14ac:dyDescent="0.2"/>
    <row r="1015" s="19" customFormat="1" x14ac:dyDescent="0.2"/>
    <row r="1016" s="19" customFormat="1" x14ac:dyDescent="0.2"/>
    <row r="1017" s="19" customFormat="1" x14ac:dyDescent="0.2"/>
    <row r="1018" s="19" customFormat="1" x14ac:dyDescent="0.2"/>
    <row r="1019" s="19" customFormat="1" x14ac:dyDescent="0.2"/>
    <row r="1020" s="19" customFormat="1" x14ac:dyDescent="0.2"/>
    <row r="1021" s="19" customFormat="1" x14ac:dyDescent="0.2"/>
    <row r="1022" s="19" customFormat="1" x14ac:dyDescent="0.2"/>
    <row r="1023" s="19" customFormat="1" x14ac:dyDescent="0.2"/>
    <row r="1024" s="19" customFormat="1" x14ac:dyDescent="0.2"/>
    <row r="1025" s="19" customFormat="1" x14ac:dyDescent="0.2"/>
    <row r="1026" s="19" customFormat="1" x14ac:dyDescent="0.2"/>
    <row r="1027" s="19" customFormat="1" x14ac:dyDescent="0.2"/>
    <row r="1028" s="19" customFormat="1" x14ac:dyDescent="0.2"/>
    <row r="1029" s="19" customFormat="1" x14ac:dyDescent="0.2"/>
    <row r="1030" s="19" customFormat="1" x14ac:dyDescent="0.2"/>
    <row r="1031" s="19" customFormat="1" x14ac:dyDescent="0.2"/>
    <row r="1032" s="19" customFormat="1" x14ac:dyDescent="0.2"/>
    <row r="1033" s="19" customFormat="1" x14ac:dyDescent="0.2"/>
    <row r="1034" s="19" customFormat="1" x14ac:dyDescent="0.2"/>
    <row r="1035" s="19" customFormat="1" x14ac:dyDescent="0.2"/>
    <row r="1036" s="19" customFormat="1" x14ac:dyDescent="0.2"/>
    <row r="1037" s="19" customFormat="1" x14ac:dyDescent="0.2"/>
    <row r="1038" s="19" customFormat="1" x14ac:dyDescent="0.2"/>
    <row r="1039" s="19" customFormat="1" x14ac:dyDescent="0.2"/>
    <row r="1040" s="19" customFormat="1" x14ac:dyDescent="0.2"/>
    <row r="1041" s="19" customFormat="1" x14ac:dyDescent="0.2"/>
    <row r="1042" s="19" customFormat="1" x14ac:dyDescent="0.2"/>
    <row r="1043" s="19" customFormat="1" x14ac:dyDescent="0.2"/>
    <row r="1044" s="19" customFormat="1" x14ac:dyDescent="0.2"/>
    <row r="1045" s="19" customFormat="1" x14ac:dyDescent="0.2"/>
    <row r="1046" s="19" customFormat="1" x14ac:dyDescent="0.2"/>
    <row r="1047" s="19" customFormat="1" x14ac:dyDescent="0.2"/>
    <row r="1048" s="19" customFormat="1" x14ac:dyDescent="0.2"/>
    <row r="1049" s="19" customFormat="1" x14ac:dyDescent="0.2"/>
    <row r="1050" s="19" customFormat="1" x14ac:dyDescent="0.2"/>
    <row r="1051" s="19" customFormat="1" x14ac:dyDescent="0.2"/>
    <row r="1052" s="19" customFormat="1" x14ac:dyDescent="0.2"/>
    <row r="1053" s="19" customFormat="1" x14ac:dyDescent="0.2"/>
    <row r="1054" s="19" customFormat="1" x14ac:dyDescent="0.2"/>
    <row r="1055" s="19" customFormat="1" x14ac:dyDescent="0.2"/>
    <row r="1056" s="19" customFormat="1" x14ac:dyDescent="0.2"/>
    <row r="1057" s="19" customFormat="1" x14ac:dyDescent="0.2"/>
    <row r="1058" s="19" customFormat="1" x14ac:dyDescent="0.2"/>
    <row r="1059" s="19" customFormat="1" x14ac:dyDescent="0.2"/>
    <row r="1060" s="19" customFormat="1" x14ac:dyDescent="0.2"/>
    <row r="1061" s="19" customFormat="1" x14ac:dyDescent="0.2"/>
    <row r="1062" s="19" customFormat="1" x14ac:dyDescent="0.2"/>
    <row r="1063" s="19" customFormat="1" x14ac:dyDescent="0.2"/>
    <row r="1064" s="19" customFormat="1" x14ac:dyDescent="0.2"/>
    <row r="1065" s="19" customFormat="1" x14ac:dyDescent="0.2"/>
    <row r="1066" s="19" customFormat="1" x14ac:dyDescent="0.2"/>
    <row r="1067" s="19" customFormat="1" x14ac:dyDescent="0.2"/>
    <row r="1068" s="19" customFormat="1" x14ac:dyDescent="0.2"/>
    <row r="1069" s="19" customFormat="1" x14ac:dyDescent="0.2"/>
    <row r="1070" s="19" customFormat="1" x14ac:dyDescent="0.2"/>
    <row r="1071" s="19" customFormat="1" x14ac:dyDescent="0.2"/>
    <row r="1072" s="19" customFormat="1" x14ac:dyDescent="0.2"/>
    <row r="1073" s="19" customFormat="1" x14ac:dyDescent="0.2"/>
    <row r="1074" s="19" customFormat="1" x14ac:dyDescent="0.2"/>
    <row r="1075" s="19" customFormat="1" x14ac:dyDescent="0.2"/>
    <row r="1076" s="19" customFormat="1" x14ac:dyDescent="0.2"/>
    <row r="1077" s="19" customFormat="1" x14ac:dyDescent="0.2"/>
    <row r="1078" s="19" customFormat="1" x14ac:dyDescent="0.2"/>
    <row r="1079" s="19" customFormat="1" x14ac:dyDescent="0.2"/>
    <row r="1080" s="19" customFormat="1" x14ac:dyDescent="0.2"/>
    <row r="1081" s="19" customFormat="1" x14ac:dyDescent="0.2"/>
    <row r="1082" s="19" customFormat="1" x14ac:dyDescent="0.2"/>
    <row r="1083" s="19" customFormat="1" x14ac:dyDescent="0.2"/>
    <row r="1084" s="19" customFormat="1" x14ac:dyDescent="0.2"/>
    <row r="1085" s="19" customFormat="1" x14ac:dyDescent="0.2"/>
    <row r="1086" s="19" customFormat="1" x14ac:dyDescent="0.2"/>
    <row r="1087" s="19" customFormat="1" x14ac:dyDescent="0.2"/>
    <row r="1088" s="19" customFormat="1" x14ac:dyDescent="0.2"/>
    <row r="1089" s="19" customFormat="1" x14ac:dyDescent="0.2"/>
    <row r="1090" s="19" customFormat="1" x14ac:dyDescent="0.2"/>
    <row r="1091" s="19" customFormat="1" x14ac:dyDescent="0.2"/>
    <row r="1092" s="19" customFormat="1" x14ac:dyDescent="0.2"/>
    <row r="1093" s="19" customFormat="1" x14ac:dyDescent="0.2"/>
    <row r="1094" s="19" customFormat="1" x14ac:dyDescent="0.2"/>
    <row r="1095" s="19" customFormat="1" x14ac:dyDescent="0.2"/>
    <row r="1096" s="19" customFormat="1" x14ac:dyDescent="0.2"/>
    <row r="1097" s="19" customFormat="1" x14ac:dyDescent="0.2"/>
    <row r="1098" s="19" customFormat="1" x14ac:dyDescent="0.2"/>
    <row r="1099" s="19" customFormat="1" x14ac:dyDescent="0.2"/>
    <row r="1100" s="19" customFormat="1" x14ac:dyDescent="0.2"/>
    <row r="1101" s="19" customFormat="1" x14ac:dyDescent="0.2"/>
    <row r="1102" s="19" customFormat="1" x14ac:dyDescent="0.2"/>
    <row r="1103" s="19" customFormat="1" x14ac:dyDescent="0.2"/>
    <row r="1104" s="19" customFormat="1" x14ac:dyDescent="0.2"/>
    <row r="1105" s="19" customFormat="1" x14ac:dyDescent="0.2"/>
    <row r="1106" s="19" customFormat="1" x14ac:dyDescent="0.2"/>
    <row r="1107" s="19" customFormat="1" x14ac:dyDescent="0.2"/>
    <row r="1108" s="19" customFormat="1" x14ac:dyDescent="0.2"/>
    <row r="1109" s="19" customFormat="1" x14ac:dyDescent="0.2"/>
    <row r="1110" s="19" customFormat="1" x14ac:dyDescent="0.2"/>
    <row r="1111" s="19" customFormat="1" x14ac:dyDescent="0.2"/>
    <row r="1112" s="19" customFormat="1" x14ac:dyDescent="0.2"/>
    <row r="1113" s="19" customFormat="1" x14ac:dyDescent="0.2"/>
    <row r="1114" s="19" customFormat="1" x14ac:dyDescent="0.2"/>
    <row r="1115" s="19" customFormat="1" x14ac:dyDescent="0.2"/>
    <row r="1116" s="19" customFormat="1" x14ac:dyDescent="0.2"/>
    <row r="1117" s="19" customFormat="1" x14ac:dyDescent="0.2"/>
    <row r="1118" s="19" customFormat="1" x14ac:dyDescent="0.2"/>
    <row r="1119" s="19" customFormat="1" x14ac:dyDescent="0.2"/>
    <row r="1120" s="19" customFormat="1" x14ac:dyDescent="0.2"/>
    <row r="1121" s="19" customFormat="1" x14ac:dyDescent="0.2"/>
    <row r="1122" s="19" customFormat="1" x14ac:dyDescent="0.2"/>
    <row r="1123" s="19" customFormat="1" x14ac:dyDescent="0.2"/>
    <row r="1124" s="19" customFormat="1" x14ac:dyDescent="0.2"/>
    <row r="1125" s="19" customFormat="1" x14ac:dyDescent="0.2"/>
    <row r="1126" s="19" customFormat="1" x14ac:dyDescent="0.2"/>
    <row r="1127" s="19" customFormat="1" x14ac:dyDescent="0.2"/>
    <row r="1128" s="19" customFormat="1" x14ac:dyDescent="0.2"/>
    <row r="1129" s="19" customFormat="1" x14ac:dyDescent="0.2"/>
    <row r="1130" s="19" customFormat="1" x14ac:dyDescent="0.2"/>
    <row r="1131" s="19" customFormat="1" x14ac:dyDescent="0.2"/>
    <row r="1132" s="19" customFormat="1" x14ac:dyDescent="0.2"/>
    <row r="1133" s="19" customFormat="1" x14ac:dyDescent="0.2"/>
    <row r="1134" s="19" customFormat="1" x14ac:dyDescent="0.2"/>
    <row r="1135" s="19" customFormat="1" x14ac:dyDescent="0.2"/>
    <row r="1136" s="19" customFormat="1" x14ac:dyDescent="0.2"/>
    <row r="1137" s="19" customFormat="1" x14ac:dyDescent="0.2"/>
    <row r="1138" s="19" customFormat="1" x14ac:dyDescent="0.2"/>
    <row r="1139" s="19" customFormat="1" x14ac:dyDescent="0.2"/>
    <row r="1140" s="19" customFormat="1" x14ac:dyDescent="0.2"/>
    <row r="1141" s="19" customFormat="1" x14ac:dyDescent="0.2"/>
    <row r="1142" s="19" customFormat="1" x14ac:dyDescent="0.2"/>
    <row r="1143" s="19" customFormat="1" x14ac:dyDescent="0.2"/>
    <row r="1144" s="19" customFormat="1" x14ac:dyDescent="0.2"/>
    <row r="1145" s="19" customFormat="1" x14ac:dyDescent="0.2"/>
    <row r="1146" s="19" customFormat="1" x14ac:dyDescent="0.2"/>
    <row r="1147" s="19" customFormat="1" x14ac:dyDescent="0.2"/>
    <row r="1148" s="19" customFormat="1" x14ac:dyDescent="0.2"/>
    <row r="1149" s="19" customFormat="1" x14ac:dyDescent="0.2"/>
    <row r="1150" s="19" customFormat="1" x14ac:dyDescent="0.2"/>
    <row r="1151" s="19" customFormat="1" x14ac:dyDescent="0.2"/>
    <row r="1152" s="19" customFormat="1" x14ac:dyDescent="0.2"/>
    <row r="1153" s="19" customFormat="1" x14ac:dyDescent="0.2"/>
    <row r="1154" s="19" customFormat="1" x14ac:dyDescent="0.2"/>
    <row r="1155" s="19" customFormat="1" x14ac:dyDescent="0.2"/>
    <row r="1156" s="19" customFormat="1" x14ac:dyDescent="0.2"/>
    <row r="1157" s="19" customFormat="1" x14ac:dyDescent="0.2"/>
    <row r="1158" s="19" customFormat="1" x14ac:dyDescent="0.2"/>
    <row r="1159" s="19" customFormat="1" x14ac:dyDescent="0.2"/>
    <row r="1160" s="19" customFormat="1" x14ac:dyDescent="0.2"/>
    <row r="1161" s="19" customFormat="1" x14ac:dyDescent="0.2"/>
    <row r="1162" s="19" customFormat="1" x14ac:dyDescent="0.2"/>
    <row r="1163" s="19" customFormat="1" x14ac:dyDescent="0.2"/>
    <row r="1164" s="19" customFormat="1" x14ac:dyDescent="0.2"/>
    <row r="1165" s="19" customFormat="1" x14ac:dyDescent="0.2"/>
    <row r="1166" s="19" customFormat="1" x14ac:dyDescent="0.2"/>
    <row r="1167" s="19" customFormat="1" x14ac:dyDescent="0.2"/>
    <row r="1168" s="19" customFormat="1" x14ac:dyDescent="0.2"/>
    <row r="1169" s="19" customFormat="1" x14ac:dyDescent="0.2"/>
    <row r="1170" s="19" customFormat="1" x14ac:dyDescent="0.2"/>
    <row r="1171" s="19" customFormat="1" x14ac:dyDescent="0.2"/>
    <row r="1172" s="19" customFormat="1" x14ac:dyDescent="0.2"/>
    <row r="1173" s="19" customFormat="1" x14ac:dyDescent="0.2"/>
    <row r="1174" s="19" customFormat="1" x14ac:dyDescent="0.2"/>
    <row r="1175" s="19" customFormat="1" x14ac:dyDescent="0.2"/>
    <row r="1176" s="19" customFormat="1" x14ac:dyDescent="0.2"/>
    <row r="1177" s="19" customFormat="1" x14ac:dyDescent="0.2"/>
    <row r="1178" s="19" customFormat="1" x14ac:dyDescent="0.2"/>
    <row r="1179" s="19" customFormat="1" x14ac:dyDescent="0.2"/>
    <row r="1180" s="19" customFormat="1" x14ac:dyDescent="0.2"/>
    <row r="1181" s="19" customFormat="1" x14ac:dyDescent="0.2"/>
    <row r="1182" s="19" customFormat="1" x14ac:dyDescent="0.2"/>
    <row r="1183" s="19" customFormat="1" x14ac:dyDescent="0.2"/>
    <row r="1184" s="19" customFormat="1" x14ac:dyDescent="0.2"/>
    <row r="1185" s="19" customFormat="1" x14ac:dyDescent="0.2"/>
    <row r="1186" s="19" customFormat="1" x14ac:dyDescent="0.2"/>
    <row r="1187" s="19" customFormat="1" x14ac:dyDescent="0.2"/>
    <row r="1188" s="19" customFormat="1" x14ac:dyDescent="0.2"/>
    <row r="1189" s="19" customFormat="1" x14ac:dyDescent="0.2"/>
    <row r="1190" s="19" customFormat="1" x14ac:dyDescent="0.2"/>
    <row r="1191" s="19" customFormat="1" x14ac:dyDescent="0.2"/>
    <row r="1192" s="19" customFormat="1" x14ac:dyDescent="0.2"/>
    <row r="1193" s="19" customFormat="1" x14ac:dyDescent="0.2"/>
    <row r="1194" s="19" customFormat="1" x14ac:dyDescent="0.2"/>
    <row r="1195" s="19" customFormat="1" x14ac:dyDescent="0.2"/>
    <row r="1196" s="19" customFormat="1" x14ac:dyDescent="0.2"/>
    <row r="1197" s="19" customFormat="1" x14ac:dyDescent="0.2"/>
    <row r="1198" s="19" customFormat="1" x14ac:dyDescent="0.2"/>
    <row r="1199" s="19" customFormat="1" x14ac:dyDescent="0.2"/>
    <row r="1200" s="19" customFormat="1" x14ac:dyDescent="0.2"/>
    <row r="1201" s="19" customFormat="1" x14ac:dyDescent="0.2"/>
    <row r="1202" s="19" customFormat="1" x14ac:dyDescent="0.2"/>
    <row r="1203" s="19" customFormat="1" x14ac:dyDescent="0.2"/>
    <row r="1204" s="19" customFormat="1" x14ac:dyDescent="0.2"/>
    <row r="1205" s="19" customFormat="1" x14ac:dyDescent="0.2"/>
    <row r="1206" s="19" customFormat="1" x14ac:dyDescent="0.2"/>
    <row r="1207" s="19" customFormat="1" x14ac:dyDescent="0.2"/>
    <row r="1208" s="19" customFormat="1" x14ac:dyDescent="0.2"/>
    <row r="1209" s="19" customFormat="1" x14ac:dyDescent="0.2"/>
    <row r="1210" s="19" customFormat="1" x14ac:dyDescent="0.2"/>
    <row r="1211" s="19" customFormat="1" x14ac:dyDescent="0.2"/>
    <row r="1212" s="19" customFormat="1" x14ac:dyDescent="0.2"/>
    <row r="1213" s="19" customFormat="1" x14ac:dyDescent="0.2"/>
    <row r="1214" s="19" customFormat="1" x14ac:dyDescent="0.2"/>
    <row r="1215" s="19" customFormat="1" x14ac:dyDescent="0.2"/>
    <row r="1216" s="19" customFormat="1" x14ac:dyDescent="0.2"/>
    <row r="1217" s="19" customFormat="1" x14ac:dyDescent="0.2"/>
    <row r="1218" s="19" customFormat="1" x14ac:dyDescent="0.2"/>
    <row r="1219" s="19" customFormat="1" x14ac:dyDescent="0.2"/>
    <row r="1220" s="19" customFormat="1" x14ac:dyDescent="0.2"/>
    <row r="1221" s="19" customFormat="1" x14ac:dyDescent="0.2"/>
    <row r="1222" s="19" customFormat="1" x14ac:dyDescent="0.2"/>
    <row r="1223" s="19" customFormat="1" x14ac:dyDescent="0.2"/>
    <row r="1224" s="19" customFormat="1" x14ac:dyDescent="0.2"/>
    <row r="1225" s="19" customFormat="1" x14ac:dyDescent="0.2"/>
    <row r="1226" s="19" customFormat="1" x14ac:dyDescent="0.2"/>
    <row r="1227" s="19" customFormat="1" x14ac:dyDescent="0.2"/>
    <row r="1228" s="19" customFormat="1" x14ac:dyDescent="0.2"/>
    <row r="1229" s="19" customFormat="1" x14ac:dyDescent="0.2"/>
    <row r="1230" s="19" customFormat="1" x14ac:dyDescent="0.2"/>
    <row r="1231" s="19" customFormat="1" x14ac:dyDescent="0.2"/>
    <row r="1232" s="19" customFormat="1" x14ac:dyDescent="0.2"/>
    <row r="1233" s="19" customFormat="1" x14ac:dyDescent="0.2"/>
    <row r="1234" s="19" customFormat="1" x14ac:dyDescent="0.2"/>
    <row r="1235" s="19" customFormat="1" x14ac:dyDescent="0.2"/>
    <row r="1236" s="19" customFormat="1" x14ac:dyDescent="0.2"/>
    <row r="1237" s="19" customFormat="1" x14ac:dyDescent="0.2"/>
    <row r="1238" s="19" customFormat="1" x14ac:dyDescent="0.2"/>
    <row r="1239" s="19" customFormat="1" x14ac:dyDescent="0.2"/>
    <row r="1240" s="19" customFormat="1" x14ac:dyDescent="0.2"/>
    <row r="1241" s="19" customFormat="1" x14ac:dyDescent="0.2"/>
    <row r="1242" s="19" customFormat="1" x14ac:dyDescent="0.2"/>
    <row r="1243" s="19" customFormat="1" x14ac:dyDescent="0.2"/>
    <row r="1244" s="19" customFormat="1" x14ac:dyDescent="0.2"/>
    <row r="1245" s="19" customFormat="1" x14ac:dyDescent="0.2"/>
    <row r="1246" s="19" customFormat="1" x14ac:dyDescent="0.2"/>
    <row r="1247" s="19" customFormat="1" x14ac:dyDescent="0.2"/>
    <row r="1248" s="19" customFormat="1" x14ac:dyDescent="0.2"/>
    <row r="1249" s="19" customFormat="1" x14ac:dyDescent="0.2"/>
    <row r="1250" s="19" customFormat="1" x14ac:dyDescent="0.2"/>
    <row r="1251" s="19" customFormat="1" x14ac:dyDescent="0.2"/>
    <row r="1252" s="19" customFormat="1" x14ac:dyDescent="0.2"/>
    <row r="1253" s="19" customFormat="1" x14ac:dyDescent="0.2"/>
    <row r="1254" s="19" customFormat="1" x14ac:dyDescent="0.2"/>
    <row r="1255" s="19" customFormat="1" x14ac:dyDescent="0.2"/>
    <row r="1256" s="19" customFormat="1" x14ac:dyDescent="0.2"/>
    <row r="1257" s="19" customFormat="1" x14ac:dyDescent="0.2"/>
    <row r="1258" s="19" customFormat="1" x14ac:dyDescent="0.2"/>
    <row r="1259" s="19" customFormat="1" x14ac:dyDescent="0.2"/>
    <row r="1260" s="19" customFormat="1" x14ac:dyDescent="0.2"/>
    <row r="1261" s="19" customFormat="1" x14ac:dyDescent="0.2"/>
    <row r="1262" s="19" customFormat="1" x14ac:dyDescent="0.2"/>
    <row r="1263" s="19" customFormat="1" x14ac:dyDescent="0.2"/>
    <row r="1264" s="19" customFormat="1" x14ac:dyDescent="0.2"/>
    <row r="1265" s="19" customFormat="1" x14ac:dyDescent="0.2"/>
    <row r="1266" s="19" customFormat="1" x14ac:dyDescent="0.2"/>
    <row r="1267" s="19" customFormat="1" x14ac:dyDescent="0.2"/>
    <row r="1268" s="19" customFormat="1" x14ac:dyDescent="0.2"/>
    <row r="1269" s="19" customFormat="1" x14ac:dyDescent="0.2"/>
    <row r="1270" s="19" customFormat="1" x14ac:dyDescent="0.2"/>
    <row r="1271" s="19" customFormat="1" x14ac:dyDescent="0.2"/>
    <row r="1272" s="19" customFormat="1" x14ac:dyDescent="0.2"/>
    <row r="1273" s="19" customFormat="1" x14ac:dyDescent="0.2"/>
    <row r="1274" s="19" customFormat="1" x14ac:dyDescent="0.2"/>
    <row r="1275" s="19" customFormat="1" x14ac:dyDescent="0.2"/>
    <row r="1276" s="19" customFormat="1" x14ac:dyDescent="0.2"/>
    <row r="1277" s="19" customFormat="1" x14ac:dyDescent="0.2"/>
    <row r="1278" s="19" customFormat="1" x14ac:dyDescent="0.2"/>
    <row r="1279" s="19" customFormat="1" x14ac:dyDescent="0.2"/>
    <row r="1280" s="19" customFormat="1" x14ac:dyDescent="0.2"/>
    <row r="1281" s="19" customFormat="1" x14ac:dyDescent="0.2"/>
    <row r="1282" s="19" customFormat="1" x14ac:dyDescent="0.2"/>
    <row r="1283" s="19" customFormat="1" x14ac:dyDescent="0.2"/>
    <row r="1284" s="19" customFormat="1" x14ac:dyDescent="0.2"/>
    <row r="1285" s="19" customFormat="1" x14ac:dyDescent="0.2"/>
    <row r="1286" s="19" customFormat="1" x14ac:dyDescent="0.2"/>
    <row r="1287" s="19" customFormat="1" x14ac:dyDescent="0.2"/>
    <row r="1288" s="19" customFormat="1" x14ac:dyDescent="0.2"/>
    <row r="1289" s="19" customFormat="1" x14ac:dyDescent="0.2"/>
    <row r="1290" s="19" customFormat="1" x14ac:dyDescent="0.2"/>
    <row r="1291" s="19" customFormat="1" x14ac:dyDescent="0.2"/>
    <row r="1292" s="19" customFormat="1" x14ac:dyDescent="0.2"/>
    <row r="1293" s="19" customFormat="1" x14ac:dyDescent="0.2"/>
    <row r="1294" s="19" customFormat="1" x14ac:dyDescent="0.2"/>
    <row r="1295" s="19" customFormat="1" x14ac:dyDescent="0.2"/>
    <row r="1296" s="19" customFormat="1" x14ac:dyDescent="0.2"/>
    <row r="1297" s="19" customFormat="1" x14ac:dyDescent="0.2"/>
    <row r="1298" s="19" customFormat="1" x14ac:dyDescent="0.2"/>
    <row r="1299" s="19" customFormat="1" x14ac:dyDescent="0.2"/>
    <row r="1300" s="19" customFormat="1" x14ac:dyDescent="0.2"/>
    <row r="1301" s="19" customFormat="1" x14ac:dyDescent="0.2"/>
    <row r="1302" s="19" customFormat="1" x14ac:dyDescent="0.2"/>
    <row r="1303" s="19" customFormat="1" x14ac:dyDescent="0.2"/>
    <row r="1304" s="19" customFormat="1" x14ac:dyDescent="0.2"/>
    <row r="1305" s="19" customFormat="1" x14ac:dyDescent="0.2"/>
    <row r="1306" s="19" customFormat="1" x14ac:dyDescent="0.2"/>
    <row r="1307" s="19" customFormat="1" x14ac:dyDescent="0.2"/>
    <row r="1308" s="19" customFormat="1" x14ac:dyDescent="0.2"/>
    <row r="1309" s="19" customFormat="1" x14ac:dyDescent="0.2"/>
    <row r="1310" s="19" customFormat="1" x14ac:dyDescent="0.2"/>
    <row r="1311" s="19" customFormat="1" x14ac:dyDescent="0.2"/>
    <row r="1312" s="19" customFormat="1" x14ac:dyDescent="0.2"/>
    <row r="1313" s="19" customFormat="1" x14ac:dyDescent="0.2"/>
    <row r="1314" s="19" customFormat="1" x14ac:dyDescent="0.2"/>
    <row r="1315" s="19" customFormat="1" x14ac:dyDescent="0.2"/>
    <row r="1316" s="19" customFormat="1" x14ac:dyDescent="0.2"/>
    <row r="1317" s="19" customFormat="1" x14ac:dyDescent="0.2"/>
    <row r="1318" s="19" customFormat="1" x14ac:dyDescent="0.2"/>
    <row r="1319" s="19" customFormat="1" x14ac:dyDescent="0.2"/>
    <row r="1320" s="19" customFormat="1" x14ac:dyDescent="0.2"/>
    <row r="1321" s="19" customFormat="1" x14ac:dyDescent="0.2"/>
    <row r="1322" s="19" customFormat="1" x14ac:dyDescent="0.2"/>
    <row r="1323" s="19" customFormat="1" x14ac:dyDescent="0.2"/>
    <row r="1324" s="19" customFormat="1" x14ac:dyDescent="0.2"/>
    <row r="1325" s="19" customFormat="1" x14ac:dyDescent="0.2"/>
    <row r="1326" s="19" customFormat="1" x14ac:dyDescent="0.2"/>
    <row r="1327" s="19" customFormat="1" x14ac:dyDescent="0.2"/>
    <row r="1328" s="19" customFormat="1" x14ac:dyDescent="0.2"/>
    <row r="1329" s="19" customFormat="1" x14ac:dyDescent="0.2"/>
    <row r="1330" s="19" customFormat="1" x14ac:dyDescent="0.2"/>
    <row r="1331" s="19" customFormat="1" x14ac:dyDescent="0.2"/>
    <row r="1332" s="19" customFormat="1" x14ac:dyDescent="0.2"/>
    <row r="1333" s="19" customFormat="1" x14ac:dyDescent="0.2"/>
    <row r="1334" s="19" customFormat="1" x14ac:dyDescent="0.2"/>
    <row r="1335" s="19" customFormat="1" x14ac:dyDescent="0.2"/>
    <row r="1336" s="19" customFormat="1" x14ac:dyDescent="0.2"/>
    <row r="1337" s="19" customFormat="1" x14ac:dyDescent="0.2"/>
    <row r="1338" s="19" customFormat="1" x14ac:dyDescent="0.2"/>
    <row r="1339" s="19" customFormat="1" x14ac:dyDescent="0.2"/>
    <row r="1340" s="19" customFormat="1" x14ac:dyDescent="0.2"/>
    <row r="1341" s="19" customFormat="1" x14ac:dyDescent="0.2"/>
    <row r="1342" s="19" customFormat="1" x14ac:dyDescent="0.2"/>
    <row r="1343" s="19" customFormat="1" x14ac:dyDescent="0.2"/>
    <row r="1344" s="19" customFormat="1" x14ac:dyDescent="0.2"/>
    <row r="1345" s="19" customFormat="1" x14ac:dyDescent="0.2"/>
    <row r="1346" s="19" customFormat="1" x14ac:dyDescent="0.2"/>
    <row r="1347" s="19" customFormat="1" x14ac:dyDescent="0.2"/>
    <row r="1348" s="19" customFormat="1" x14ac:dyDescent="0.2"/>
    <row r="1349" s="19" customFormat="1" x14ac:dyDescent="0.2"/>
    <row r="1350" s="19" customFormat="1" x14ac:dyDescent="0.2"/>
    <row r="1351" s="19" customFormat="1" x14ac:dyDescent="0.2"/>
    <row r="1352" s="19" customFormat="1" x14ac:dyDescent="0.2"/>
    <row r="1353" s="19" customFormat="1" x14ac:dyDescent="0.2"/>
    <row r="1354" s="19" customFormat="1" x14ac:dyDescent="0.2"/>
    <row r="1355" s="19" customFormat="1" x14ac:dyDescent="0.2"/>
    <row r="1356" s="19" customFormat="1" x14ac:dyDescent="0.2"/>
    <row r="1357" s="19" customFormat="1" x14ac:dyDescent="0.2"/>
    <row r="1358" s="19" customFormat="1" x14ac:dyDescent="0.2"/>
    <row r="1359" s="19" customFormat="1" x14ac:dyDescent="0.2"/>
    <row r="1360" s="19" customFormat="1" x14ac:dyDescent="0.2"/>
    <row r="1361" s="19" customFormat="1" x14ac:dyDescent="0.2"/>
    <row r="1362" s="19" customFormat="1" x14ac:dyDescent="0.2"/>
    <row r="1363" s="19" customFormat="1" x14ac:dyDescent="0.2"/>
    <row r="1364" s="19" customFormat="1" x14ac:dyDescent="0.2"/>
    <row r="1365" s="19" customFormat="1" x14ac:dyDescent="0.2"/>
    <row r="1366" s="19" customFormat="1" x14ac:dyDescent="0.2"/>
    <row r="1367" s="19" customFormat="1" x14ac:dyDescent="0.2"/>
    <row r="1368" s="19" customFormat="1" x14ac:dyDescent="0.2"/>
    <row r="1369" s="19" customFormat="1" x14ac:dyDescent="0.2"/>
    <row r="1370" s="19" customFormat="1" x14ac:dyDescent="0.2"/>
    <row r="1371" s="19" customFormat="1" x14ac:dyDescent="0.2"/>
    <row r="1372" s="19" customFormat="1" x14ac:dyDescent="0.2"/>
    <row r="1373" s="19" customFormat="1" x14ac:dyDescent="0.2"/>
    <row r="1374" s="19" customFormat="1" x14ac:dyDescent="0.2"/>
    <row r="1375" s="19" customFormat="1" x14ac:dyDescent="0.2"/>
    <row r="1376" s="19" customFormat="1" x14ac:dyDescent="0.2"/>
    <row r="1377" s="19" customFormat="1" x14ac:dyDescent="0.2"/>
    <row r="1378" s="19" customFormat="1" x14ac:dyDescent="0.2"/>
    <row r="1379" s="19" customFormat="1" x14ac:dyDescent="0.2"/>
    <row r="1380" s="19" customFormat="1" x14ac:dyDescent="0.2"/>
    <row r="1381" s="19" customFormat="1" x14ac:dyDescent="0.2"/>
    <row r="1382" s="19" customFormat="1" x14ac:dyDescent="0.2"/>
    <row r="1383" s="19" customFormat="1" x14ac:dyDescent="0.2"/>
    <row r="1384" s="19" customFormat="1" x14ac:dyDescent="0.2"/>
    <row r="1385" s="19" customFormat="1" x14ac:dyDescent="0.2"/>
    <row r="1386" s="19" customFormat="1" x14ac:dyDescent="0.2"/>
    <row r="1387" s="19" customFormat="1" x14ac:dyDescent="0.2"/>
    <row r="1388" s="19" customFormat="1" x14ac:dyDescent="0.2"/>
    <row r="1389" s="19" customFormat="1" x14ac:dyDescent="0.2"/>
    <row r="1390" s="19" customFormat="1" x14ac:dyDescent="0.2"/>
    <row r="1391" s="19" customFormat="1" x14ac:dyDescent="0.2"/>
    <row r="1392" s="19" customFormat="1" x14ac:dyDescent="0.2"/>
    <row r="1393" s="19" customFormat="1" x14ac:dyDescent="0.2"/>
    <row r="1394" s="19" customFormat="1" x14ac:dyDescent="0.2"/>
    <row r="1395" s="19" customFormat="1" x14ac:dyDescent="0.2"/>
    <row r="1396" s="19" customFormat="1" x14ac:dyDescent="0.2"/>
    <row r="1397" s="19" customFormat="1" x14ac:dyDescent="0.2"/>
    <row r="1398" s="19" customFormat="1" x14ac:dyDescent="0.2"/>
    <row r="1399" s="19" customFormat="1" x14ac:dyDescent="0.2"/>
    <row r="1400" s="19" customFormat="1" x14ac:dyDescent="0.2"/>
    <row r="1401" s="19" customFormat="1" x14ac:dyDescent="0.2"/>
    <row r="1402" s="19" customFormat="1" x14ac:dyDescent="0.2"/>
    <row r="1403" s="19" customFormat="1" x14ac:dyDescent="0.2"/>
    <row r="1404" s="19" customFormat="1" x14ac:dyDescent="0.2"/>
    <row r="1405" s="19" customFormat="1" x14ac:dyDescent="0.2"/>
    <row r="1406" s="19" customFormat="1" x14ac:dyDescent="0.2"/>
    <row r="1407" s="19" customFormat="1" x14ac:dyDescent="0.2"/>
    <row r="1408" s="19" customFormat="1" x14ac:dyDescent="0.2"/>
    <row r="1409" s="19" customFormat="1" x14ac:dyDescent="0.2"/>
    <row r="1410" s="19" customFormat="1" x14ac:dyDescent="0.2"/>
    <row r="1411" s="19" customFormat="1" x14ac:dyDescent="0.2"/>
    <row r="1412" s="19" customFormat="1" x14ac:dyDescent="0.2"/>
    <row r="1413" s="19" customFormat="1" x14ac:dyDescent="0.2"/>
    <row r="1414" s="19" customFormat="1" x14ac:dyDescent="0.2"/>
    <row r="1415" s="19" customFormat="1" x14ac:dyDescent="0.2"/>
    <row r="1416" s="19" customFormat="1" x14ac:dyDescent="0.2"/>
    <row r="1417" s="19" customFormat="1" x14ac:dyDescent="0.2"/>
    <row r="1418" s="19" customFormat="1" x14ac:dyDescent="0.2"/>
    <row r="1419" s="19" customFormat="1" x14ac:dyDescent="0.2"/>
    <row r="1420" s="19" customFormat="1" x14ac:dyDescent="0.2"/>
    <row r="1421" s="19" customFormat="1" x14ac:dyDescent="0.2"/>
    <row r="1422" s="19" customFormat="1" x14ac:dyDescent="0.2"/>
    <row r="1423" s="19" customFormat="1" x14ac:dyDescent="0.2"/>
    <row r="1424" s="19" customFormat="1" x14ac:dyDescent="0.2"/>
    <row r="1425" s="19" customFormat="1" x14ac:dyDescent="0.2"/>
    <row r="1426" s="19" customFormat="1" x14ac:dyDescent="0.2"/>
    <row r="1427" s="19" customFormat="1" x14ac:dyDescent="0.2"/>
    <row r="1428" s="19" customFormat="1" x14ac:dyDescent="0.2"/>
    <row r="1429" s="19" customFormat="1" x14ac:dyDescent="0.2"/>
    <row r="1430" s="19" customFormat="1" x14ac:dyDescent="0.2"/>
    <row r="1431" s="19" customFormat="1" x14ac:dyDescent="0.2"/>
    <row r="1432" s="19" customFormat="1" x14ac:dyDescent="0.2"/>
    <row r="1433" s="19" customFormat="1" x14ac:dyDescent="0.2"/>
    <row r="1434" s="19" customFormat="1" x14ac:dyDescent="0.2"/>
    <row r="1435" s="19" customFormat="1" x14ac:dyDescent="0.2"/>
    <row r="1436" s="19" customFormat="1" x14ac:dyDescent="0.2"/>
    <row r="1437" s="19" customFormat="1" x14ac:dyDescent="0.2"/>
    <row r="1438" s="19" customFormat="1" x14ac:dyDescent="0.2"/>
    <row r="1439" s="19" customFormat="1" x14ac:dyDescent="0.2"/>
    <row r="1440" s="19" customFormat="1" x14ac:dyDescent="0.2"/>
    <row r="1441" s="19" customFormat="1" x14ac:dyDescent="0.2"/>
    <row r="1442" s="19" customFormat="1" x14ac:dyDescent="0.2"/>
    <row r="1443" s="19" customFormat="1" x14ac:dyDescent="0.2"/>
    <row r="1444" s="19" customFormat="1" x14ac:dyDescent="0.2"/>
    <row r="1445" s="19" customFormat="1" x14ac:dyDescent="0.2"/>
    <row r="1446" s="19" customFormat="1" x14ac:dyDescent="0.2"/>
    <row r="1447" s="19" customFormat="1" x14ac:dyDescent="0.2"/>
    <row r="1448" s="19" customFormat="1" x14ac:dyDescent="0.2"/>
    <row r="1449" s="19" customFormat="1" x14ac:dyDescent="0.2"/>
    <row r="1450" s="19" customFormat="1" x14ac:dyDescent="0.2"/>
    <row r="1451" s="19" customFormat="1" x14ac:dyDescent="0.2"/>
    <row r="1452" s="19" customFormat="1" x14ac:dyDescent="0.2"/>
    <row r="1453" s="19" customFormat="1" x14ac:dyDescent="0.2"/>
    <row r="1454" s="19" customFormat="1" x14ac:dyDescent="0.2"/>
    <row r="1455" s="19" customFormat="1" x14ac:dyDescent="0.2"/>
    <row r="1456" s="19" customFormat="1" x14ac:dyDescent="0.2"/>
    <row r="1457" s="19" customFormat="1" x14ac:dyDescent="0.2"/>
    <row r="1458" s="19" customFormat="1" x14ac:dyDescent="0.2"/>
    <row r="1459" s="19" customFormat="1" x14ac:dyDescent="0.2"/>
    <row r="1460" s="19" customFormat="1" x14ac:dyDescent="0.2"/>
    <row r="1461" s="19" customFormat="1" x14ac:dyDescent="0.2"/>
    <row r="1462" s="19" customFormat="1" x14ac:dyDescent="0.2"/>
    <row r="1463" s="19" customFormat="1" x14ac:dyDescent="0.2"/>
    <row r="1464" s="19" customFormat="1" x14ac:dyDescent="0.2"/>
    <row r="1465" s="19" customFormat="1" x14ac:dyDescent="0.2"/>
    <row r="1466" s="19" customFormat="1" x14ac:dyDescent="0.2"/>
    <row r="1467" s="19" customFormat="1" x14ac:dyDescent="0.2"/>
    <row r="1468" s="19" customFormat="1" x14ac:dyDescent="0.2"/>
    <row r="1469" s="19" customFormat="1" x14ac:dyDescent="0.2"/>
    <row r="1470" s="19" customFormat="1" x14ac:dyDescent="0.2"/>
    <row r="1471" s="19" customFormat="1" x14ac:dyDescent="0.2"/>
    <row r="1472" s="19" customFormat="1" x14ac:dyDescent="0.2"/>
    <row r="1473" s="19" customFormat="1" x14ac:dyDescent="0.2"/>
    <row r="1474" s="19" customFormat="1" x14ac:dyDescent="0.2"/>
    <row r="1475" s="19" customFormat="1" x14ac:dyDescent="0.2"/>
    <row r="1476" s="19" customFormat="1" x14ac:dyDescent="0.2"/>
    <row r="1477" s="19" customFormat="1" x14ac:dyDescent="0.2"/>
    <row r="1478" s="19" customFormat="1" x14ac:dyDescent="0.2"/>
    <row r="1479" s="19" customFormat="1" x14ac:dyDescent="0.2"/>
    <row r="1480" s="19" customFormat="1" x14ac:dyDescent="0.2"/>
    <row r="1481" s="19" customFormat="1" x14ac:dyDescent="0.2"/>
    <row r="1482" s="19" customFormat="1" x14ac:dyDescent="0.2"/>
    <row r="1483" s="19" customFormat="1" x14ac:dyDescent="0.2"/>
    <row r="1484" s="19" customFormat="1" x14ac:dyDescent="0.2"/>
    <row r="1485" s="19" customFormat="1" x14ac:dyDescent="0.2"/>
    <row r="1486" s="19" customFormat="1" x14ac:dyDescent="0.2"/>
    <row r="1487" s="19" customFormat="1" x14ac:dyDescent="0.2"/>
    <row r="1488" s="19" customFormat="1" x14ac:dyDescent="0.2"/>
    <row r="1489" s="19" customFormat="1" x14ac:dyDescent="0.2"/>
    <row r="1490" s="19" customFormat="1" x14ac:dyDescent="0.2"/>
    <row r="1491" s="19" customFormat="1" x14ac:dyDescent="0.2"/>
    <row r="1492" s="19" customFormat="1" x14ac:dyDescent="0.2"/>
    <row r="1493" s="19" customFormat="1" x14ac:dyDescent="0.2"/>
    <row r="1494" s="19" customFormat="1" x14ac:dyDescent="0.2"/>
    <row r="1495" s="19" customFormat="1" x14ac:dyDescent="0.2"/>
    <row r="1496" s="19" customFormat="1" x14ac:dyDescent="0.2"/>
    <row r="1497" s="19" customFormat="1" x14ac:dyDescent="0.2"/>
    <row r="1498" s="19" customFormat="1" x14ac:dyDescent="0.2"/>
    <row r="1499" s="19" customFormat="1" x14ac:dyDescent="0.2"/>
    <row r="1500" s="19" customFormat="1" x14ac:dyDescent="0.2"/>
    <row r="1501" s="19" customFormat="1" x14ac:dyDescent="0.2"/>
    <row r="1502" s="19" customFormat="1" x14ac:dyDescent="0.2"/>
    <row r="1503" s="19" customFormat="1" x14ac:dyDescent="0.2"/>
    <row r="1504" s="19" customFormat="1" x14ac:dyDescent="0.2"/>
    <row r="1505" s="19" customFormat="1" x14ac:dyDescent="0.2"/>
    <row r="1506" s="19" customFormat="1" x14ac:dyDescent="0.2"/>
    <row r="1507" s="19" customFormat="1" x14ac:dyDescent="0.2"/>
    <row r="1508" s="19" customFormat="1" x14ac:dyDescent="0.2"/>
    <row r="1509" s="19" customFormat="1" x14ac:dyDescent="0.2"/>
    <row r="1510" s="19" customFormat="1" x14ac:dyDescent="0.2"/>
    <row r="1511" s="19" customFormat="1" x14ac:dyDescent="0.2"/>
    <row r="1512" s="19" customFormat="1" x14ac:dyDescent="0.2"/>
    <row r="1513" s="19" customFormat="1" x14ac:dyDescent="0.2"/>
    <row r="1514" s="19" customFormat="1" x14ac:dyDescent="0.2"/>
    <row r="1515" s="19" customFormat="1" x14ac:dyDescent="0.2"/>
    <row r="1516" s="19" customFormat="1" x14ac:dyDescent="0.2"/>
    <row r="1517" s="19" customFormat="1" x14ac:dyDescent="0.2"/>
    <row r="1518" s="19" customFormat="1" x14ac:dyDescent="0.2"/>
    <row r="1519" s="19" customFormat="1" x14ac:dyDescent="0.2"/>
    <row r="1520" s="19" customFormat="1" x14ac:dyDescent="0.2"/>
    <row r="1521" s="19" customFormat="1" x14ac:dyDescent="0.2"/>
    <row r="1522" s="19" customFormat="1" x14ac:dyDescent="0.2"/>
    <row r="1523" s="19" customFormat="1" x14ac:dyDescent="0.2"/>
    <row r="1524" s="19" customFormat="1" x14ac:dyDescent="0.2"/>
    <row r="1525" s="19" customFormat="1" x14ac:dyDescent="0.2"/>
    <row r="1526" s="19" customFormat="1" x14ac:dyDescent="0.2"/>
    <row r="1527" s="19" customFormat="1" x14ac:dyDescent="0.2"/>
    <row r="1528" s="19" customFormat="1" x14ac:dyDescent="0.2"/>
    <row r="1529" s="19" customFormat="1" x14ac:dyDescent="0.2"/>
    <row r="1530" s="19" customFormat="1" x14ac:dyDescent="0.2"/>
    <row r="1531" s="19" customFormat="1" x14ac:dyDescent="0.2"/>
    <row r="1532" s="19" customFormat="1" x14ac:dyDescent="0.2"/>
    <row r="1533" s="19" customFormat="1" x14ac:dyDescent="0.2"/>
    <row r="1534" s="19" customFormat="1" x14ac:dyDescent="0.2"/>
    <row r="1535" s="19" customFormat="1" x14ac:dyDescent="0.2"/>
    <row r="1536" s="19" customFormat="1" x14ac:dyDescent="0.2"/>
    <row r="1537" s="19" customFormat="1" x14ac:dyDescent="0.2"/>
    <row r="1538" s="19" customFormat="1" x14ac:dyDescent="0.2"/>
    <row r="1539" s="19" customFormat="1" x14ac:dyDescent="0.2"/>
    <row r="1540" s="19" customFormat="1" x14ac:dyDescent="0.2"/>
    <row r="1541" s="19" customFormat="1" x14ac:dyDescent="0.2"/>
    <row r="1542" s="19" customFormat="1" x14ac:dyDescent="0.2"/>
    <row r="1543" s="19" customFormat="1" x14ac:dyDescent="0.2"/>
    <row r="1544" s="19" customFormat="1" x14ac:dyDescent="0.2"/>
    <row r="1545" s="19" customFormat="1" x14ac:dyDescent="0.2"/>
    <row r="1546" s="19" customFormat="1" x14ac:dyDescent="0.2"/>
    <row r="1547" s="19" customFormat="1" x14ac:dyDescent="0.2"/>
    <row r="1548" s="19" customFormat="1" x14ac:dyDescent="0.2"/>
    <row r="1549" s="19" customFormat="1" x14ac:dyDescent="0.2"/>
    <row r="1550" s="19" customFormat="1" x14ac:dyDescent="0.2"/>
    <row r="1551" s="19" customFormat="1" x14ac:dyDescent="0.2"/>
    <row r="1552" s="19" customFormat="1" x14ac:dyDescent="0.2"/>
    <row r="1553" s="19" customFormat="1" x14ac:dyDescent="0.2"/>
    <row r="1554" s="19" customFormat="1" x14ac:dyDescent="0.2"/>
    <row r="1555" s="19" customFormat="1" x14ac:dyDescent="0.2"/>
    <row r="1556" s="19" customFormat="1" x14ac:dyDescent="0.2"/>
    <row r="1557" s="19" customFormat="1" x14ac:dyDescent="0.2"/>
    <row r="1558" s="19" customFormat="1" x14ac:dyDescent="0.2"/>
    <row r="1559" s="19" customFormat="1" x14ac:dyDescent="0.2"/>
    <row r="1560" s="19" customFormat="1" x14ac:dyDescent="0.2"/>
    <row r="1561" s="19" customFormat="1" x14ac:dyDescent="0.2"/>
    <row r="1562" s="19" customFormat="1" x14ac:dyDescent="0.2"/>
    <row r="1563" s="19" customFormat="1" x14ac:dyDescent="0.2"/>
    <row r="1564" s="19" customFormat="1" x14ac:dyDescent="0.2"/>
    <row r="1565" s="19" customFormat="1" x14ac:dyDescent="0.2"/>
    <row r="1566" s="19" customFormat="1" x14ac:dyDescent="0.2"/>
    <row r="1567" s="19" customFormat="1" x14ac:dyDescent="0.2"/>
    <row r="1568" s="19" customFormat="1" x14ac:dyDescent="0.2"/>
    <row r="1569" s="19" customFormat="1" x14ac:dyDescent="0.2"/>
    <row r="1570" s="19" customFormat="1" x14ac:dyDescent="0.2"/>
    <row r="1571" s="19" customFormat="1" x14ac:dyDescent="0.2"/>
    <row r="1572" s="19" customFormat="1" x14ac:dyDescent="0.2"/>
    <row r="1573" s="19" customFormat="1" x14ac:dyDescent="0.2"/>
    <row r="1574" s="19" customFormat="1" x14ac:dyDescent="0.2"/>
    <row r="1575" s="19" customFormat="1" x14ac:dyDescent="0.2"/>
    <row r="1576" s="19" customFormat="1" x14ac:dyDescent="0.2"/>
    <row r="1577" s="19" customFormat="1" x14ac:dyDescent="0.2"/>
    <row r="1578" s="19" customFormat="1" x14ac:dyDescent="0.2"/>
    <row r="1579" s="19" customFormat="1" x14ac:dyDescent="0.2"/>
    <row r="1580" s="19" customFormat="1" x14ac:dyDescent="0.2"/>
    <row r="1581" s="19" customFormat="1" x14ac:dyDescent="0.2"/>
    <row r="1582" s="19" customFormat="1" x14ac:dyDescent="0.2"/>
    <row r="1583" s="19" customFormat="1" x14ac:dyDescent="0.2"/>
    <row r="1584" s="19" customFormat="1" x14ac:dyDescent="0.2"/>
    <row r="1585" s="19" customFormat="1" x14ac:dyDescent="0.2"/>
    <row r="1586" s="19" customFormat="1" x14ac:dyDescent="0.2"/>
    <row r="1587" s="19" customFormat="1" x14ac:dyDescent="0.2"/>
    <row r="1588" s="19" customFormat="1" x14ac:dyDescent="0.2"/>
    <row r="1589" s="19" customFormat="1" x14ac:dyDescent="0.2"/>
    <row r="1590" s="19" customFormat="1" x14ac:dyDescent="0.2"/>
    <row r="1591" s="19" customFormat="1" x14ac:dyDescent="0.2"/>
    <row r="1592" s="19" customFormat="1" x14ac:dyDescent="0.2"/>
    <row r="1593" s="19" customFormat="1" x14ac:dyDescent="0.2"/>
    <row r="1594" s="19" customFormat="1" x14ac:dyDescent="0.2"/>
    <row r="1595" s="19" customFormat="1" x14ac:dyDescent="0.2"/>
    <row r="1596" s="19" customFormat="1" x14ac:dyDescent="0.2"/>
    <row r="1597" s="19" customFormat="1" x14ac:dyDescent="0.2"/>
    <row r="1598" s="19" customFormat="1" x14ac:dyDescent="0.2"/>
    <row r="1599" s="19" customFormat="1" x14ac:dyDescent="0.2"/>
    <row r="1600" s="19" customFormat="1" x14ac:dyDescent="0.2"/>
    <row r="1601" s="19" customFormat="1" x14ac:dyDescent="0.2"/>
    <row r="1602" s="19" customFormat="1" x14ac:dyDescent="0.2"/>
    <row r="1603" s="19" customFormat="1" x14ac:dyDescent="0.2"/>
    <row r="1604" s="19" customFormat="1" x14ac:dyDescent="0.2"/>
    <row r="1605" s="19" customFormat="1" x14ac:dyDescent="0.2"/>
    <row r="1606" s="19" customFormat="1" x14ac:dyDescent="0.2"/>
    <row r="1607" s="19" customFormat="1" x14ac:dyDescent="0.2"/>
    <row r="1608" s="19" customFormat="1" x14ac:dyDescent="0.2"/>
    <row r="1609" s="19" customFormat="1" x14ac:dyDescent="0.2"/>
    <row r="1610" s="19" customFormat="1" x14ac:dyDescent="0.2"/>
    <row r="1611" s="19" customFormat="1" x14ac:dyDescent="0.2"/>
    <row r="1612" s="19" customFormat="1" x14ac:dyDescent="0.2"/>
    <row r="1613" s="19" customFormat="1" x14ac:dyDescent="0.2"/>
    <row r="1614" s="19" customFormat="1" x14ac:dyDescent="0.2"/>
    <row r="1615" s="19" customFormat="1" x14ac:dyDescent="0.2"/>
    <row r="1616" s="19" customFormat="1" x14ac:dyDescent="0.2"/>
    <row r="1617" s="19" customFormat="1" x14ac:dyDescent="0.2"/>
    <row r="1618" s="19" customFormat="1" x14ac:dyDescent="0.2"/>
    <row r="1619" s="19" customFormat="1" x14ac:dyDescent="0.2"/>
    <row r="1620" s="19" customFormat="1" x14ac:dyDescent="0.2"/>
    <row r="1621" s="19" customFormat="1" x14ac:dyDescent="0.2"/>
    <row r="1622" s="19" customFormat="1" x14ac:dyDescent="0.2"/>
    <row r="1623" s="19" customFormat="1" x14ac:dyDescent="0.2"/>
    <row r="1624" s="19" customFormat="1" x14ac:dyDescent="0.2"/>
    <row r="1625" s="19" customFormat="1" x14ac:dyDescent="0.2"/>
    <row r="1626" s="19" customFormat="1" x14ac:dyDescent="0.2"/>
    <row r="1627" s="19" customFormat="1" x14ac:dyDescent="0.2"/>
    <row r="1628" s="19" customFormat="1" x14ac:dyDescent="0.2"/>
    <row r="1629" s="19" customFormat="1" x14ac:dyDescent="0.2"/>
    <row r="1630" s="19" customFormat="1" x14ac:dyDescent="0.2"/>
    <row r="1631" s="19" customFormat="1" x14ac:dyDescent="0.2"/>
    <row r="1632" s="19" customFormat="1" x14ac:dyDescent="0.2"/>
    <row r="1633" s="19" customFormat="1" x14ac:dyDescent="0.2"/>
    <row r="1634" s="19" customFormat="1" x14ac:dyDescent="0.2"/>
    <row r="1635" s="19" customFormat="1" x14ac:dyDescent="0.2"/>
    <row r="1636" s="19" customFormat="1" x14ac:dyDescent="0.2"/>
    <row r="1637" s="19" customFormat="1" x14ac:dyDescent="0.2"/>
    <row r="1638" s="19" customFormat="1" x14ac:dyDescent="0.2"/>
    <row r="1639" s="19" customFormat="1" x14ac:dyDescent="0.2"/>
    <row r="1640" s="19" customFormat="1" x14ac:dyDescent="0.2"/>
    <row r="1641" s="19" customFormat="1" x14ac:dyDescent="0.2"/>
    <row r="1642" s="19" customFormat="1" x14ac:dyDescent="0.2"/>
    <row r="1643" s="19" customFormat="1" x14ac:dyDescent="0.2"/>
    <row r="1644" s="19" customFormat="1" x14ac:dyDescent="0.2"/>
    <row r="1645" s="19" customFormat="1" x14ac:dyDescent="0.2"/>
    <row r="1646" s="19" customFormat="1" x14ac:dyDescent="0.2"/>
    <row r="1647" s="19" customFormat="1" x14ac:dyDescent="0.2"/>
    <row r="1648" s="19" customFormat="1" x14ac:dyDescent="0.2"/>
    <row r="1649" s="19" customFormat="1" x14ac:dyDescent="0.2"/>
    <row r="1650" s="19" customFormat="1" x14ac:dyDescent="0.2"/>
    <row r="1651" s="19" customFormat="1" x14ac:dyDescent="0.2"/>
    <row r="1652" s="19" customFormat="1" x14ac:dyDescent="0.2"/>
    <row r="1653" s="19" customFormat="1" x14ac:dyDescent="0.2"/>
    <row r="1654" s="19" customFormat="1" x14ac:dyDescent="0.2"/>
    <row r="1655" s="19" customFormat="1" x14ac:dyDescent="0.2"/>
    <row r="1656" s="19" customFormat="1" x14ac:dyDescent="0.2"/>
    <row r="1657" s="19" customFormat="1" x14ac:dyDescent="0.2"/>
    <row r="1658" s="19" customFormat="1" x14ac:dyDescent="0.2"/>
    <row r="1659" s="19" customFormat="1" x14ac:dyDescent="0.2"/>
    <row r="1660" s="19" customFormat="1" x14ac:dyDescent="0.2"/>
    <row r="1661" s="19" customFormat="1" x14ac:dyDescent="0.2"/>
    <row r="1662" s="19" customFormat="1" x14ac:dyDescent="0.2"/>
    <row r="1663" s="19" customFormat="1" x14ac:dyDescent="0.2"/>
    <row r="1664" s="19" customFormat="1" x14ac:dyDescent="0.2"/>
    <row r="1665" s="19" customFormat="1" x14ac:dyDescent="0.2"/>
    <row r="1666" s="19" customFormat="1" x14ac:dyDescent="0.2"/>
    <row r="1667" s="19" customFormat="1" x14ac:dyDescent="0.2"/>
    <row r="1668" s="19" customFormat="1" x14ac:dyDescent="0.2"/>
    <row r="1669" s="19" customFormat="1" x14ac:dyDescent="0.2"/>
    <row r="1670" s="19" customFormat="1" x14ac:dyDescent="0.2"/>
    <row r="1671" s="19" customFormat="1" x14ac:dyDescent="0.2"/>
    <row r="1672" s="19" customFormat="1" x14ac:dyDescent="0.2"/>
    <row r="1673" s="19" customFormat="1" x14ac:dyDescent="0.2"/>
    <row r="1674" s="19" customFormat="1" x14ac:dyDescent="0.2"/>
    <row r="1675" s="19" customFormat="1" x14ac:dyDescent="0.2"/>
    <row r="1676" s="19" customFormat="1" x14ac:dyDescent="0.2"/>
    <row r="1677" s="19" customFormat="1" x14ac:dyDescent="0.2"/>
    <row r="1678" s="19" customFormat="1" x14ac:dyDescent="0.2"/>
    <row r="1679" s="19" customFormat="1" x14ac:dyDescent="0.2"/>
    <row r="1680" s="19" customFormat="1" x14ac:dyDescent="0.2"/>
    <row r="1681" s="19" customFormat="1" x14ac:dyDescent="0.2"/>
    <row r="1682" s="19" customFormat="1" x14ac:dyDescent="0.2"/>
    <row r="1683" s="19" customFormat="1" x14ac:dyDescent="0.2"/>
    <row r="1684" s="19" customFormat="1" x14ac:dyDescent="0.2"/>
    <row r="1685" s="19" customFormat="1" x14ac:dyDescent="0.2"/>
    <row r="1686" s="19" customFormat="1" x14ac:dyDescent="0.2"/>
    <row r="1687" s="19" customFormat="1" x14ac:dyDescent="0.2"/>
    <row r="1688" s="19" customFormat="1" x14ac:dyDescent="0.2"/>
    <row r="1689" s="19" customFormat="1" x14ac:dyDescent="0.2"/>
    <row r="1690" s="19" customFormat="1" x14ac:dyDescent="0.2"/>
    <row r="1691" s="19" customFormat="1" x14ac:dyDescent="0.2"/>
    <row r="1692" s="19" customFormat="1" x14ac:dyDescent="0.2"/>
    <row r="1693" s="19" customFormat="1" x14ac:dyDescent="0.2"/>
    <row r="1694" s="19" customFormat="1" x14ac:dyDescent="0.2"/>
    <row r="1695" s="19" customFormat="1" x14ac:dyDescent="0.2"/>
    <row r="1696" s="19" customFormat="1" x14ac:dyDescent="0.2"/>
    <row r="1697" s="19" customFormat="1" x14ac:dyDescent="0.2"/>
    <row r="1698" s="19" customFormat="1" x14ac:dyDescent="0.2"/>
    <row r="1699" s="19" customFormat="1" x14ac:dyDescent="0.2"/>
    <row r="1700" s="19" customFormat="1" x14ac:dyDescent="0.2"/>
    <row r="1701" s="19" customFormat="1" x14ac:dyDescent="0.2"/>
    <row r="1702" s="19" customFormat="1" x14ac:dyDescent="0.2"/>
    <row r="1703" s="19" customFormat="1" x14ac:dyDescent="0.2"/>
    <row r="1704" s="19" customFormat="1" x14ac:dyDescent="0.2"/>
    <row r="1705" s="19" customFormat="1" x14ac:dyDescent="0.2"/>
    <row r="1706" s="19" customFormat="1" x14ac:dyDescent="0.2"/>
    <row r="1707" s="19" customFormat="1" x14ac:dyDescent="0.2"/>
    <row r="1708" s="19" customFormat="1" x14ac:dyDescent="0.2"/>
    <row r="1709" s="19" customFormat="1" x14ac:dyDescent="0.2"/>
    <row r="1710" s="19" customFormat="1" x14ac:dyDescent="0.2"/>
    <row r="1711" s="19" customFormat="1" x14ac:dyDescent="0.2"/>
    <row r="1712" s="19" customFormat="1" x14ac:dyDescent="0.2"/>
    <row r="1713" s="19" customFormat="1" x14ac:dyDescent="0.2"/>
    <row r="1714" s="19" customFormat="1" x14ac:dyDescent="0.2"/>
    <row r="1715" s="19" customFormat="1" x14ac:dyDescent="0.2"/>
    <row r="1716" s="19" customFormat="1" x14ac:dyDescent="0.2"/>
    <row r="1717" s="19" customFormat="1" x14ac:dyDescent="0.2"/>
    <row r="1718" s="19" customFormat="1" x14ac:dyDescent="0.2"/>
    <row r="1719" s="19" customFormat="1" x14ac:dyDescent="0.2"/>
    <row r="1720" s="19" customFormat="1" x14ac:dyDescent="0.2"/>
    <row r="1721" s="19" customFormat="1" x14ac:dyDescent="0.2"/>
    <row r="1722" s="19" customFormat="1" x14ac:dyDescent="0.2"/>
    <row r="1723" s="19" customFormat="1" x14ac:dyDescent="0.2"/>
    <row r="1724" s="19" customFormat="1" x14ac:dyDescent="0.2"/>
    <row r="1725" s="19" customFormat="1" x14ac:dyDescent="0.2"/>
    <row r="1726" s="19" customFormat="1" x14ac:dyDescent="0.2"/>
    <row r="1727" s="19" customFormat="1" x14ac:dyDescent="0.2"/>
    <row r="1728" s="19" customFormat="1" x14ac:dyDescent="0.2"/>
    <row r="1729" s="19" customFormat="1" x14ac:dyDescent="0.2"/>
    <row r="1730" s="19" customFormat="1" x14ac:dyDescent="0.2"/>
    <row r="1731" s="19" customFormat="1" x14ac:dyDescent="0.2"/>
    <row r="1732" s="19" customFormat="1" x14ac:dyDescent="0.2"/>
    <row r="1733" s="19" customFormat="1" x14ac:dyDescent="0.2"/>
    <row r="1734" s="19" customFormat="1" x14ac:dyDescent="0.2"/>
    <row r="1735" s="19" customFormat="1" x14ac:dyDescent="0.2"/>
    <row r="1736" s="19" customFormat="1" x14ac:dyDescent="0.2"/>
    <row r="1737" s="19" customFormat="1" x14ac:dyDescent="0.2"/>
    <row r="1738" s="19" customFormat="1" x14ac:dyDescent="0.2"/>
    <row r="1739" s="19" customFormat="1" x14ac:dyDescent="0.2"/>
    <row r="1740" s="19" customFormat="1" x14ac:dyDescent="0.2"/>
    <row r="1741" s="19" customFormat="1" x14ac:dyDescent="0.2"/>
    <row r="1742" s="19" customFormat="1" x14ac:dyDescent="0.2"/>
    <row r="1743" s="19" customFormat="1" x14ac:dyDescent="0.2"/>
    <row r="1744" s="19" customFormat="1" x14ac:dyDescent="0.2"/>
    <row r="1745" s="19" customFormat="1" x14ac:dyDescent="0.2"/>
    <row r="1746" s="19" customFormat="1" x14ac:dyDescent="0.2"/>
    <row r="1747" s="19" customFormat="1" x14ac:dyDescent="0.2"/>
    <row r="1748" s="19" customFormat="1" x14ac:dyDescent="0.2"/>
    <row r="1749" s="19" customFormat="1" x14ac:dyDescent="0.2"/>
    <row r="1750" s="19" customFormat="1" x14ac:dyDescent="0.2"/>
    <row r="1751" s="19" customFormat="1" x14ac:dyDescent="0.2"/>
    <row r="1752" s="19" customFormat="1" x14ac:dyDescent="0.2"/>
    <row r="1753" s="19" customFormat="1" x14ac:dyDescent="0.2"/>
    <row r="1754" s="19" customFormat="1" x14ac:dyDescent="0.2"/>
    <row r="1755" s="19" customFormat="1" x14ac:dyDescent="0.2"/>
    <row r="1756" s="19" customFormat="1" x14ac:dyDescent="0.2"/>
    <row r="1757" s="19" customFormat="1" x14ac:dyDescent="0.2"/>
    <row r="1758" s="19" customFormat="1" x14ac:dyDescent="0.2"/>
    <row r="1759" s="19" customFormat="1" x14ac:dyDescent="0.2"/>
    <row r="1760" s="19" customFormat="1" x14ac:dyDescent="0.2"/>
    <row r="1761" s="19" customFormat="1" x14ac:dyDescent="0.2"/>
    <row r="1762" s="19" customFormat="1" x14ac:dyDescent="0.2"/>
    <row r="1763" s="19" customFormat="1" x14ac:dyDescent="0.2"/>
    <row r="1764" s="19" customFormat="1" x14ac:dyDescent="0.2"/>
    <row r="1765" s="19" customFormat="1" x14ac:dyDescent="0.2"/>
    <row r="1766" s="19" customFormat="1" x14ac:dyDescent="0.2"/>
    <row r="1767" s="19" customFormat="1" x14ac:dyDescent="0.2"/>
    <row r="1768" s="19" customFormat="1" x14ac:dyDescent="0.2"/>
    <row r="1769" s="19" customFormat="1" x14ac:dyDescent="0.2"/>
    <row r="1770" s="19" customFormat="1" x14ac:dyDescent="0.2"/>
    <row r="1771" s="19" customFormat="1" x14ac:dyDescent="0.2"/>
    <row r="1772" s="19" customFormat="1" x14ac:dyDescent="0.2"/>
    <row r="1773" s="19" customFormat="1" x14ac:dyDescent="0.2"/>
    <row r="1774" s="19" customFormat="1" x14ac:dyDescent="0.2"/>
    <row r="1775" s="19" customFormat="1" x14ac:dyDescent="0.2"/>
    <row r="1776" s="19" customFormat="1" x14ac:dyDescent="0.2"/>
    <row r="1777" s="19" customFormat="1" x14ac:dyDescent="0.2"/>
    <row r="1778" s="19" customFormat="1" x14ac:dyDescent="0.2"/>
    <row r="1779" s="19" customFormat="1" x14ac:dyDescent="0.2"/>
    <row r="1780" s="19" customFormat="1" x14ac:dyDescent="0.2"/>
    <row r="1781" s="19" customFormat="1" x14ac:dyDescent="0.2"/>
    <row r="1782" s="19" customFormat="1" x14ac:dyDescent="0.2"/>
    <row r="1783" s="19" customFormat="1" x14ac:dyDescent="0.2"/>
    <row r="1784" s="19" customFormat="1" x14ac:dyDescent="0.2"/>
    <row r="1785" s="19" customFormat="1" x14ac:dyDescent="0.2"/>
    <row r="1786" s="19" customFormat="1" x14ac:dyDescent="0.2"/>
    <row r="1787" s="19" customFormat="1" x14ac:dyDescent="0.2"/>
    <row r="1788" s="19" customFormat="1" x14ac:dyDescent="0.2"/>
    <row r="1789" s="19" customFormat="1" x14ac:dyDescent="0.2"/>
    <row r="1790" s="19" customFormat="1" x14ac:dyDescent="0.2"/>
    <row r="1791" s="19" customFormat="1" x14ac:dyDescent="0.2"/>
    <row r="1792" s="19" customFormat="1" x14ac:dyDescent="0.2"/>
    <row r="1793" s="19" customFormat="1" x14ac:dyDescent="0.2"/>
    <row r="1794" s="19" customFormat="1" x14ac:dyDescent="0.2"/>
    <row r="1795" s="19" customFormat="1" x14ac:dyDescent="0.2"/>
    <row r="1796" s="19" customFormat="1" x14ac:dyDescent="0.2"/>
    <row r="1797" s="19" customFormat="1" x14ac:dyDescent="0.2"/>
    <row r="1798" s="19" customFormat="1" x14ac:dyDescent="0.2"/>
    <row r="1799" s="19" customFormat="1" x14ac:dyDescent="0.2"/>
    <row r="1800" s="19" customFormat="1" x14ac:dyDescent="0.2"/>
    <row r="1801" s="19" customFormat="1" x14ac:dyDescent="0.2"/>
    <row r="1802" s="19" customFormat="1" x14ac:dyDescent="0.2"/>
    <row r="1803" s="19" customFormat="1" x14ac:dyDescent="0.2"/>
    <row r="1804" s="19" customFormat="1" x14ac:dyDescent="0.2"/>
    <row r="1805" s="19" customFormat="1" x14ac:dyDescent="0.2"/>
    <row r="1806" s="19" customFormat="1" x14ac:dyDescent="0.2"/>
    <row r="1807" s="19" customFormat="1" x14ac:dyDescent="0.2"/>
    <row r="1808" s="19" customFormat="1" x14ac:dyDescent="0.2"/>
    <row r="1809" s="19" customFormat="1" x14ac:dyDescent="0.2"/>
    <row r="1810" s="19" customFormat="1" x14ac:dyDescent="0.2"/>
    <row r="1811" s="19" customFormat="1" x14ac:dyDescent="0.2"/>
    <row r="1812" s="19" customFormat="1" x14ac:dyDescent="0.2"/>
    <row r="1813" s="19" customFormat="1" x14ac:dyDescent="0.2"/>
    <row r="1814" s="19" customFormat="1" x14ac:dyDescent="0.2"/>
    <row r="1815" s="19" customFormat="1" x14ac:dyDescent="0.2"/>
    <row r="1816" s="19" customFormat="1" x14ac:dyDescent="0.2"/>
    <row r="1817" s="19" customFormat="1" x14ac:dyDescent="0.2"/>
    <row r="1818" s="19" customFormat="1" x14ac:dyDescent="0.2"/>
    <row r="1819" s="19" customFormat="1" x14ac:dyDescent="0.2"/>
    <row r="1820" s="19" customFormat="1" x14ac:dyDescent="0.2"/>
    <row r="1821" s="19" customFormat="1" x14ac:dyDescent="0.2"/>
    <row r="1822" s="19" customFormat="1" x14ac:dyDescent="0.2"/>
    <row r="1823" s="19" customFormat="1" x14ac:dyDescent="0.2"/>
    <row r="1824" s="19" customFormat="1" x14ac:dyDescent="0.2"/>
    <row r="1825" s="19" customFormat="1" x14ac:dyDescent="0.2"/>
    <row r="1826" s="19" customFormat="1" x14ac:dyDescent="0.2"/>
    <row r="1827" s="19" customFormat="1" x14ac:dyDescent="0.2"/>
    <row r="1828" s="19" customFormat="1" x14ac:dyDescent="0.2"/>
    <row r="1829" s="19" customFormat="1" x14ac:dyDescent="0.2"/>
    <row r="1830" s="19" customFormat="1" x14ac:dyDescent="0.2"/>
    <row r="1831" s="19" customFormat="1" x14ac:dyDescent="0.2"/>
    <row r="1832" s="19" customFormat="1" x14ac:dyDescent="0.2"/>
    <row r="1833" s="19" customFormat="1" x14ac:dyDescent="0.2"/>
    <row r="1834" s="19" customFormat="1" x14ac:dyDescent="0.2"/>
    <row r="1835" s="19" customFormat="1" x14ac:dyDescent="0.2"/>
    <row r="1836" s="19" customFormat="1" x14ac:dyDescent="0.2"/>
    <row r="1837" s="19" customFormat="1" x14ac:dyDescent="0.2"/>
    <row r="1838" s="19" customFormat="1" x14ac:dyDescent="0.2"/>
    <row r="1839" s="19" customFormat="1" x14ac:dyDescent="0.2"/>
    <row r="1840" s="19" customFormat="1" x14ac:dyDescent="0.2"/>
    <row r="1841" s="19" customFormat="1" x14ac:dyDescent="0.2"/>
    <row r="1842" s="19" customFormat="1" x14ac:dyDescent="0.2"/>
    <row r="1843" s="19" customFormat="1" x14ac:dyDescent="0.2"/>
    <row r="1844" s="19" customFormat="1" x14ac:dyDescent="0.2"/>
    <row r="1845" s="19" customFormat="1" x14ac:dyDescent="0.2"/>
    <row r="1846" s="19" customFormat="1" x14ac:dyDescent="0.2"/>
    <row r="1847" s="19" customFormat="1" x14ac:dyDescent="0.2"/>
    <row r="1848" s="19" customFormat="1" x14ac:dyDescent="0.2"/>
    <row r="1849" s="19" customFormat="1" x14ac:dyDescent="0.2"/>
    <row r="1850" s="19" customFormat="1" x14ac:dyDescent="0.2"/>
    <row r="1851" s="19" customFormat="1" x14ac:dyDescent="0.2"/>
    <row r="1852" s="19" customFormat="1" x14ac:dyDescent="0.2"/>
    <row r="1853" s="19" customFormat="1" x14ac:dyDescent="0.2"/>
    <row r="1854" s="19" customFormat="1" x14ac:dyDescent="0.2"/>
    <row r="1855" s="19" customFormat="1" x14ac:dyDescent="0.2"/>
    <row r="1856" s="19" customFormat="1" x14ac:dyDescent="0.2"/>
    <row r="1857" spans="3:6" s="19" customFormat="1" x14ac:dyDescent="0.2"/>
    <row r="1858" spans="3:6" s="19" customFormat="1" x14ac:dyDescent="0.2"/>
    <row r="1859" spans="3:6" s="19" customFormat="1" x14ac:dyDescent="0.2"/>
    <row r="1860" spans="3:6" s="19" customFormat="1" x14ac:dyDescent="0.2"/>
    <row r="1861" spans="3:6" s="19" customFormat="1" x14ac:dyDescent="0.2"/>
    <row r="1862" spans="3:6" s="19" customFormat="1" x14ac:dyDescent="0.2"/>
    <row r="1863" spans="3:6" s="19" customFormat="1" x14ac:dyDescent="0.2"/>
    <row r="1864" spans="3:6" s="19" customFormat="1" x14ac:dyDescent="0.2"/>
    <row r="1865" spans="3:6" s="19" customFormat="1" x14ac:dyDescent="0.2"/>
    <row r="1866" spans="3:6" s="19" customFormat="1" x14ac:dyDescent="0.2"/>
    <row r="1867" spans="3:6" s="19" customFormat="1" x14ac:dyDescent="0.2"/>
    <row r="1868" spans="3:6" s="19" customFormat="1" x14ac:dyDescent="0.2"/>
    <row r="1869" spans="3:6" s="19" customFormat="1" x14ac:dyDescent="0.2">
      <c r="C1869" s="18"/>
      <c r="D1869" s="18"/>
      <c r="E1869" s="18"/>
      <c r="F1869" s="18"/>
    </row>
  </sheetData>
  <mergeCells count="5">
    <mergeCell ref="D55:F55"/>
    <mergeCell ref="D54:F54"/>
    <mergeCell ref="B7:G7"/>
    <mergeCell ref="B8:G8"/>
    <mergeCell ref="B9:G9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1"/>
  <sheetViews>
    <sheetView zoomScale="110" zoomScaleNormal="110" workbookViewId="0">
      <selection activeCell="I21" sqref="I21"/>
    </sheetView>
  </sheetViews>
  <sheetFormatPr baseColWidth="10" defaultRowHeight="14.25" x14ac:dyDescent="0.2"/>
  <cols>
    <col min="1" max="1" width="2.5703125" style="13" customWidth="1"/>
    <col min="2" max="2" width="67.5703125" style="13" customWidth="1"/>
    <col min="3" max="3" width="13.140625" style="14" hidden="1" customWidth="1"/>
    <col min="4" max="4" width="12.28515625" style="15" hidden="1" customWidth="1"/>
    <col min="5" max="5" width="17.7109375" style="15" customWidth="1"/>
    <col min="6" max="6" width="18.28515625" style="11" customWidth="1"/>
    <col min="7" max="7" width="3.140625" style="14" customWidth="1"/>
    <col min="8" max="16384" width="11.42578125" style="13"/>
  </cols>
  <sheetData>
    <row r="2" spans="2:6" ht="15" thickBot="1" x14ac:dyDescent="0.25"/>
    <row r="3" spans="2:6" ht="15" thickTop="1" x14ac:dyDescent="0.2">
      <c r="B3" s="290"/>
      <c r="C3" s="291"/>
      <c r="D3" s="292"/>
      <c r="E3" s="292"/>
      <c r="F3" s="293"/>
    </row>
    <row r="4" spans="2:6" x14ac:dyDescent="0.2">
      <c r="B4" s="294"/>
      <c r="C4" s="45"/>
      <c r="D4" s="46"/>
      <c r="E4" s="46"/>
      <c r="F4" s="295"/>
    </row>
    <row r="5" spans="2:6" x14ac:dyDescent="0.2">
      <c r="B5" s="294"/>
      <c r="C5" s="45"/>
      <c r="D5" s="46"/>
      <c r="E5" s="46"/>
      <c r="F5" s="295"/>
    </row>
    <row r="6" spans="2:6" x14ac:dyDescent="0.2">
      <c r="B6" s="294"/>
      <c r="C6" s="45"/>
      <c r="D6" s="46"/>
      <c r="E6" s="46"/>
      <c r="F6" s="296"/>
    </row>
    <row r="7" spans="2:6" x14ac:dyDescent="0.2">
      <c r="B7" s="297"/>
      <c r="C7" s="21"/>
      <c r="D7" s="21"/>
      <c r="E7" s="21"/>
      <c r="F7" s="298"/>
    </row>
    <row r="8" spans="2:6" x14ac:dyDescent="0.2">
      <c r="B8" s="387" t="s">
        <v>7</v>
      </c>
      <c r="C8" s="388"/>
      <c r="D8" s="388"/>
      <c r="E8" s="388"/>
      <c r="F8" s="389"/>
    </row>
    <row r="9" spans="2:6" x14ac:dyDescent="0.2">
      <c r="B9" s="387" t="s">
        <v>274</v>
      </c>
      <c r="C9" s="388"/>
      <c r="D9" s="388"/>
      <c r="E9" s="388"/>
      <c r="F9" s="389"/>
    </row>
    <row r="10" spans="2:6" x14ac:dyDescent="0.2">
      <c r="B10" s="387" t="s">
        <v>168</v>
      </c>
      <c r="C10" s="388"/>
      <c r="D10" s="388"/>
      <c r="E10" s="388"/>
      <c r="F10" s="389"/>
    </row>
    <row r="11" spans="2:6" ht="15" thickBot="1" x14ac:dyDescent="0.25">
      <c r="B11" s="299"/>
      <c r="C11" s="47"/>
      <c r="D11" s="48"/>
      <c r="E11" s="48"/>
      <c r="F11" s="300"/>
    </row>
    <row r="12" spans="2:6" x14ac:dyDescent="0.2">
      <c r="B12" s="301"/>
      <c r="C12" s="129"/>
      <c r="D12" s="130"/>
      <c r="E12" s="130"/>
      <c r="F12" s="302"/>
    </row>
    <row r="13" spans="2:6" x14ac:dyDescent="0.2">
      <c r="B13" s="362" t="s">
        <v>197</v>
      </c>
      <c r="C13" s="87"/>
      <c r="D13" s="131"/>
      <c r="E13" s="132"/>
      <c r="F13" s="304"/>
    </row>
    <row r="14" spans="2:6" x14ac:dyDescent="0.2">
      <c r="B14" s="303"/>
      <c r="C14" s="87"/>
      <c r="D14" s="131"/>
      <c r="E14" s="132"/>
      <c r="F14" s="304"/>
    </row>
    <row r="15" spans="2:6" x14ac:dyDescent="0.2">
      <c r="B15" s="363" t="s">
        <v>200</v>
      </c>
      <c r="C15" s="87"/>
      <c r="D15" s="131"/>
      <c r="E15" s="132"/>
      <c r="F15" s="304"/>
    </row>
    <row r="16" spans="2:6" x14ac:dyDescent="0.2">
      <c r="B16" s="364" t="s">
        <v>0</v>
      </c>
      <c r="C16" s="87"/>
      <c r="D16" s="131"/>
      <c r="E16" s="347" t="str">
        <f>+RESULTADOS!D12</f>
        <v>Marzo</v>
      </c>
      <c r="F16" s="370" t="str">
        <f>+RESULTADOS!F12</f>
        <v>Acumulado</v>
      </c>
    </row>
    <row r="17" spans="2:7" x14ac:dyDescent="0.2">
      <c r="B17" s="305"/>
      <c r="C17" s="87"/>
      <c r="D17" s="131"/>
      <c r="E17" s="131"/>
      <c r="F17" s="304"/>
    </row>
    <row r="18" spans="2:7" ht="12.75" customHeight="1" x14ac:dyDescent="0.2">
      <c r="B18" s="306" t="s">
        <v>84</v>
      </c>
      <c r="C18" s="87"/>
      <c r="D18" s="131"/>
      <c r="E18" s="58">
        <f>+RESULTADOS!D40</f>
        <v>5615168.7400000021</v>
      </c>
      <c r="F18" s="304">
        <f>+RESULTADOS!F40</f>
        <v>18839151.399999976</v>
      </c>
      <c r="G18" s="9"/>
    </row>
    <row r="19" spans="2:7" ht="12" customHeight="1" x14ac:dyDescent="0.2">
      <c r="B19" s="306"/>
      <c r="C19" s="87"/>
      <c r="D19" s="131"/>
      <c r="E19" s="58"/>
      <c r="F19" s="304"/>
      <c r="G19" s="9"/>
    </row>
    <row r="20" spans="2:7" ht="14.25" customHeight="1" x14ac:dyDescent="0.2">
      <c r="B20" s="283" t="s">
        <v>156</v>
      </c>
      <c r="C20" s="68"/>
      <c r="D20" s="132"/>
      <c r="E20" s="336">
        <v>58053.78</v>
      </c>
      <c r="F20" s="307">
        <f>-73461.74+E20</f>
        <v>-15407.960000000006</v>
      </c>
      <c r="G20" s="9"/>
    </row>
    <row r="21" spans="2:7" ht="14.25" customHeight="1" x14ac:dyDescent="0.2">
      <c r="B21" s="283" t="s">
        <v>110</v>
      </c>
      <c r="C21" s="68"/>
      <c r="D21" s="132"/>
      <c r="E21" s="350">
        <v>-50116.2</v>
      </c>
      <c r="F21" s="307">
        <f>766545.1+E21</f>
        <v>716428.9</v>
      </c>
      <c r="G21" s="9"/>
    </row>
    <row r="22" spans="2:7" ht="14.25" hidden="1" customHeight="1" x14ac:dyDescent="0.2">
      <c r="B22" s="283" t="s">
        <v>12</v>
      </c>
      <c r="C22" s="68"/>
      <c r="D22" s="132"/>
      <c r="E22" s="350">
        <v>0</v>
      </c>
      <c r="F22" s="307">
        <v>0</v>
      </c>
      <c r="G22" s="9"/>
    </row>
    <row r="23" spans="2:7" s="49" customFormat="1" x14ac:dyDescent="0.2">
      <c r="B23" s="283" t="s">
        <v>159</v>
      </c>
      <c r="C23" s="87"/>
      <c r="D23" s="131"/>
      <c r="E23" s="350">
        <v>1123161.8400000001</v>
      </c>
      <c r="F23" s="307">
        <f>1114924.95+E23</f>
        <v>2238086.79</v>
      </c>
      <c r="G23" s="9"/>
    </row>
    <row r="24" spans="2:7" s="49" customFormat="1" ht="13.5" customHeight="1" x14ac:dyDescent="0.2">
      <c r="B24" s="283" t="s">
        <v>82</v>
      </c>
      <c r="C24" s="87"/>
      <c r="D24" s="131"/>
      <c r="E24" s="350">
        <v>-243641.33</v>
      </c>
      <c r="F24" s="307">
        <f>-425837.55+E24</f>
        <v>-669478.88</v>
      </c>
      <c r="G24" s="9"/>
    </row>
    <row r="25" spans="2:7" s="49" customFormat="1" ht="13.5" customHeight="1" x14ac:dyDescent="0.2">
      <c r="B25" s="283" t="s">
        <v>124</v>
      </c>
      <c r="C25" s="87"/>
      <c r="D25" s="131"/>
      <c r="E25" s="350">
        <v>204063.11</v>
      </c>
      <c r="F25" s="307">
        <f>1127424.95+E25</f>
        <v>1331488.06</v>
      </c>
      <c r="G25" s="9"/>
    </row>
    <row r="26" spans="2:7" s="49" customFormat="1" x14ac:dyDescent="0.2">
      <c r="B26" s="283" t="s">
        <v>74</v>
      </c>
      <c r="C26" s="87"/>
      <c r="D26" s="131"/>
      <c r="E26" s="350">
        <v>-920002.17</v>
      </c>
      <c r="F26" s="307">
        <f>-585641.85+E26</f>
        <v>-1505644.02</v>
      </c>
      <c r="G26" s="9"/>
    </row>
    <row r="27" spans="2:7" s="49" customFormat="1" x14ac:dyDescent="0.2">
      <c r="B27" s="283" t="s">
        <v>109</v>
      </c>
      <c r="C27" s="87"/>
      <c r="D27" s="131"/>
      <c r="E27" s="350">
        <v>2801.2099999999996</v>
      </c>
      <c r="F27" s="307">
        <f>-936535.77+E27</f>
        <v>-933734.56</v>
      </c>
      <c r="G27" s="9"/>
    </row>
    <row r="28" spans="2:7" s="49" customFormat="1" x14ac:dyDescent="0.2">
      <c r="B28" s="283" t="s">
        <v>83</v>
      </c>
      <c r="C28" s="87"/>
      <c r="D28" s="131"/>
      <c r="E28" s="350">
        <v>13280600</v>
      </c>
      <c r="F28" s="307">
        <f>31223843.86+E28</f>
        <v>44504443.859999999</v>
      </c>
      <c r="G28" s="9"/>
    </row>
    <row r="29" spans="2:7" s="49" customFormat="1" hidden="1" x14ac:dyDescent="0.2">
      <c r="B29" s="283" t="s">
        <v>165</v>
      </c>
      <c r="C29" s="87"/>
      <c r="D29" s="131"/>
      <c r="E29" s="350">
        <v>0</v>
      </c>
      <c r="F29" s="307">
        <v>0</v>
      </c>
      <c r="G29" s="9"/>
    </row>
    <row r="30" spans="2:7" s="49" customFormat="1" x14ac:dyDescent="0.2">
      <c r="B30" s="283" t="s">
        <v>104</v>
      </c>
      <c r="C30" s="87"/>
      <c r="D30" s="131"/>
      <c r="E30" s="336">
        <v>737863.88</v>
      </c>
      <c r="F30" s="307">
        <f>2076705.94+E30</f>
        <v>2814569.82</v>
      </c>
      <c r="G30" s="9"/>
    </row>
    <row r="31" spans="2:7" s="49" customFormat="1" x14ac:dyDescent="0.2">
      <c r="B31" s="283" t="s">
        <v>263</v>
      </c>
      <c r="C31" s="87"/>
      <c r="D31" s="131"/>
      <c r="E31" s="336">
        <v>-58868652.149999999</v>
      </c>
      <c r="F31" s="307">
        <f>62716541.83+E31</f>
        <v>3847889.6799999997</v>
      </c>
      <c r="G31" s="9"/>
    </row>
    <row r="32" spans="2:7" s="49" customFormat="1" ht="15" thickBot="1" x14ac:dyDescent="0.25">
      <c r="B32" s="367"/>
      <c r="C32" s="118"/>
      <c r="D32" s="368"/>
      <c r="E32" s="368"/>
      <c r="F32" s="369"/>
      <c r="G32" s="36"/>
    </row>
    <row r="33" spans="2:7" ht="16.5" customHeight="1" thickTop="1" thickBot="1" x14ac:dyDescent="0.25">
      <c r="B33" s="365" t="s">
        <v>198</v>
      </c>
      <c r="C33" s="133"/>
      <c r="D33" s="134" t="e">
        <f>+#REF!</f>
        <v>#REF!</v>
      </c>
      <c r="E33" s="366">
        <f>SUM(E18:E32)</f>
        <v>-39060699.289999992</v>
      </c>
      <c r="F33" s="315">
        <f>SUM(F18:F32)</f>
        <v>71167793.089999974</v>
      </c>
      <c r="G33" s="9"/>
    </row>
    <row r="34" spans="2:7" ht="14.25" customHeight="1" x14ac:dyDescent="0.2">
      <c r="B34" s="311"/>
      <c r="C34" s="129"/>
      <c r="D34" s="130"/>
      <c r="E34" s="130"/>
      <c r="F34" s="302"/>
      <c r="G34" s="9"/>
    </row>
    <row r="35" spans="2:7" x14ac:dyDescent="0.2">
      <c r="B35" s="303" t="s">
        <v>222</v>
      </c>
      <c r="C35" s="87"/>
      <c r="D35" s="131"/>
      <c r="E35" s="132"/>
      <c r="F35" s="304"/>
      <c r="G35" s="9"/>
    </row>
    <row r="36" spans="2:7" x14ac:dyDescent="0.2">
      <c r="B36" s="312"/>
      <c r="C36" s="87"/>
      <c r="D36" s="131"/>
      <c r="E36" s="346"/>
      <c r="F36" s="313"/>
      <c r="G36" s="9"/>
    </row>
    <row r="37" spans="2:7" x14ac:dyDescent="0.2">
      <c r="B37" s="314" t="s">
        <v>201</v>
      </c>
      <c r="C37" s="87"/>
      <c r="D37" s="131"/>
      <c r="E37" s="337">
        <v>-525435.13</v>
      </c>
      <c r="F37" s="308">
        <f>-538332.32+E37</f>
        <v>-1063767.45</v>
      </c>
      <c r="G37" s="9">
        <v>54483800.640000001</v>
      </c>
    </row>
    <row r="38" spans="2:7" ht="12.75" customHeight="1" x14ac:dyDescent="0.2">
      <c r="B38" s="314" t="s">
        <v>85</v>
      </c>
      <c r="C38" s="68"/>
      <c r="D38" s="132"/>
      <c r="E38" s="337">
        <v>167118.82999999999</v>
      </c>
      <c r="F38" s="308">
        <f>334237.66+E38</f>
        <v>501356.49</v>
      </c>
      <c r="G38" s="9"/>
    </row>
    <row r="39" spans="2:7" x14ac:dyDescent="0.2">
      <c r="B39" s="314" t="s">
        <v>86</v>
      </c>
      <c r="C39" s="68"/>
      <c r="D39" s="132"/>
      <c r="E39" s="337">
        <v>259449.73</v>
      </c>
      <c r="F39" s="308">
        <f>-5007.35999999999+E39</f>
        <v>254442.37000000002</v>
      </c>
      <c r="G39" s="9"/>
    </row>
    <row r="40" spans="2:7" x14ac:dyDescent="0.2">
      <c r="B40" s="314" t="s">
        <v>87</v>
      </c>
      <c r="C40" s="68"/>
      <c r="D40" s="132"/>
      <c r="E40" s="337">
        <v>163974.16</v>
      </c>
      <c r="F40" s="308">
        <f>-69895.3+E40</f>
        <v>94078.86</v>
      </c>
      <c r="G40" s="9"/>
    </row>
    <row r="41" spans="2:7" ht="12.75" customHeight="1" x14ac:dyDescent="0.2">
      <c r="B41" s="314" t="s">
        <v>95</v>
      </c>
      <c r="C41" s="68"/>
      <c r="D41" s="132"/>
      <c r="E41" s="337">
        <v>-2012953.3199999998</v>
      </c>
      <c r="F41" s="308">
        <f>813754.81+E41</f>
        <v>-1199198.5099999998</v>
      </c>
      <c r="G41" s="9"/>
    </row>
    <row r="42" spans="2:7" ht="12.75" customHeight="1" x14ac:dyDescent="0.2">
      <c r="B42" s="314" t="s">
        <v>223</v>
      </c>
      <c r="C42" s="68"/>
      <c r="D42" s="132"/>
      <c r="E42" s="338">
        <v>21496.63</v>
      </c>
      <c r="F42" s="308">
        <f>42993.26+E42</f>
        <v>64489.89</v>
      </c>
      <c r="G42" s="9"/>
    </row>
    <row r="43" spans="2:7" ht="15" thickBot="1" x14ac:dyDescent="0.25">
      <c r="B43" s="309"/>
      <c r="C43" s="133"/>
      <c r="D43" s="134"/>
      <c r="E43" s="339"/>
      <c r="F43" s="315"/>
      <c r="G43" s="9"/>
    </row>
    <row r="44" spans="2:7" ht="15.75" customHeight="1" thickBot="1" x14ac:dyDescent="0.25">
      <c r="B44" s="316" t="s">
        <v>224</v>
      </c>
      <c r="C44" s="135"/>
      <c r="D44" s="136" t="e">
        <f>+#REF!</f>
        <v>#REF!</v>
      </c>
      <c r="E44" s="153">
        <f>SUM(E37:E43)</f>
        <v>-1926349.1</v>
      </c>
      <c r="F44" s="310">
        <f>SUM(F37:F43)</f>
        <v>-1348598.3499999999</v>
      </c>
      <c r="G44" s="9"/>
    </row>
    <row r="45" spans="2:7" ht="15.75" hidden="1" customHeight="1" x14ac:dyDescent="0.25">
      <c r="B45" s="333"/>
      <c r="C45" s="129"/>
      <c r="D45" s="130"/>
      <c r="E45" s="334"/>
      <c r="F45" s="302"/>
      <c r="G45" s="9"/>
    </row>
    <row r="46" spans="2:7" ht="15" hidden="1" thickBot="1" x14ac:dyDescent="0.25">
      <c r="B46" s="312"/>
      <c r="C46" s="87"/>
      <c r="D46" s="131"/>
      <c r="E46" s="131"/>
      <c r="F46" s="304"/>
      <c r="G46" s="9"/>
    </row>
    <row r="47" spans="2:7" ht="15" hidden="1" thickBot="1" x14ac:dyDescent="0.25">
      <c r="B47" s="362" t="s">
        <v>8</v>
      </c>
      <c r="C47" s="87"/>
      <c r="D47" s="131"/>
      <c r="E47" s="131"/>
      <c r="F47" s="304"/>
      <c r="G47" s="9"/>
    </row>
    <row r="48" spans="2:7" ht="15" hidden="1" thickBot="1" x14ac:dyDescent="0.25">
      <c r="B48" s="312"/>
      <c r="C48" s="87"/>
      <c r="D48" s="131"/>
      <c r="E48" s="131"/>
      <c r="F48" s="304"/>
      <c r="G48" s="9"/>
    </row>
    <row r="49" spans="2:7" ht="12.75" hidden="1" customHeight="1" x14ac:dyDescent="0.25">
      <c r="B49" s="283" t="s">
        <v>96</v>
      </c>
      <c r="C49" s="87"/>
      <c r="D49" s="131"/>
      <c r="E49" s="61">
        <v>0</v>
      </c>
      <c r="F49" s="313">
        <v>0</v>
      </c>
      <c r="G49" s="9"/>
    </row>
    <row r="50" spans="2:7" ht="12.75" hidden="1" customHeight="1" x14ac:dyDescent="0.25">
      <c r="B50" s="283" t="s">
        <v>42</v>
      </c>
      <c r="C50" s="87"/>
      <c r="D50" s="131"/>
      <c r="E50" s="360">
        <v>0</v>
      </c>
      <c r="F50" s="313">
        <v>0</v>
      </c>
      <c r="G50" s="9"/>
    </row>
    <row r="51" spans="2:7" ht="12.75" hidden="1" customHeight="1" x14ac:dyDescent="0.25">
      <c r="B51" s="283" t="s">
        <v>105</v>
      </c>
      <c r="C51" s="87"/>
      <c r="D51" s="131"/>
      <c r="E51" s="84">
        <v>0</v>
      </c>
      <c r="F51" s="313">
        <v>0</v>
      </c>
      <c r="G51" s="9"/>
    </row>
    <row r="52" spans="2:7" ht="15" hidden="1" thickBot="1" x14ac:dyDescent="0.25">
      <c r="B52" s="283" t="s">
        <v>132</v>
      </c>
      <c r="C52" s="87"/>
      <c r="D52" s="131"/>
      <c r="E52" s="84">
        <v>0</v>
      </c>
      <c r="F52" s="313">
        <v>0</v>
      </c>
      <c r="G52" s="9"/>
    </row>
    <row r="53" spans="2:7" ht="15" hidden="1" thickBot="1" x14ac:dyDescent="0.25">
      <c r="B53" s="283" t="s">
        <v>125</v>
      </c>
      <c r="C53" s="87"/>
      <c r="D53" s="131"/>
      <c r="E53" s="84">
        <v>0</v>
      </c>
      <c r="F53" s="313">
        <v>0</v>
      </c>
      <c r="G53" s="9"/>
    </row>
    <row r="54" spans="2:7" ht="15" hidden="1" thickBot="1" x14ac:dyDescent="0.25">
      <c r="B54" s="283" t="s">
        <v>99</v>
      </c>
      <c r="C54" s="87"/>
      <c r="D54" s="131"/>
      <c r="E54" s="84">
        <v>0</v>
      </c>
      <c r="F54" s="313">
        <f>+E54</f>
        <v>0</v>
      </c>
      <c r="G54" s="9"/>
    </row>
    <row r="55" spans="2:7" ht="15" hidden="1" thickBot="1" x14ac:dyDescent="0.25">
      <c r="B55" s="309"/>
      <c r="C55" s="133"/>
      <c r="D55" s="134"/>
      <c r="E55" s="134"/>
      <c r="F55" s="315"/>
      <c r="G55" s="9"/>
    </row>
    <row r="56" spans="2:7" ht="15.75" hidden="1" customHeight="1" thickBot="1" x14ac:dyDescent="0.25">
      <c r="B56" s="361" t="s">
        <v>9</v>
      </c>
      <c r="C56" s="137"/>
      <c r="D56" s="138" t="e">
        <f>+#REF!</f>
        <v>#REF!</v>
      </c>
      <c r="E56" s="153">
        <f>SUM(E49:E55)</f>
        <v>0</v>
      </c>
      <c r="F56" s="310">
        <f>SUM(F49:F55)</f>
        <v>0</v>
      </c>
      <c r="G56" s="9"/>
    </row>
    <row r="57" spans="2:7" x14ac:dyDescent="0.2">
      <c r="B57" s="311"/>
      <c r="C57" s="129"/>
      <c r="D57" s="130"/>
      <c r="E57" s="130"/>
      <c r="F57" s="302"/>
      <c r="G57" s="9"/>
    </row>
    <row r="58" spans="2:7" x14ac:dyDescent="0.2">
      <c r="B58" s="312"/>
      <c r="C58" s="87"/>
      <c r="D58" s="131"/>
      <c r="E58" s="131"/>
      <c r="F58" s="304"/>
      <c r="G58" s="9"/>
    </row>
    <row r="59" spans="2:7" x14ac:dyDescent="0.2">
      <c r="B59" s="314" t="s">
        <v>28</v>
      </c>
      <c r="C59" s="68"/>
      <c r="D59" s="132"/>
      <c r="E59" s="127">
        <v>-40987047.619999997</v>
      </c>
      <c r="F59" s="317">
        <f>64967175.42+E59</f>
        <v>23980127.800000004</v>
      </c>
    </row>
    <row r="60" spans="2:7" x14ac:dyDescent="0.2">
      <c r="B60" s="314" t="s">
        <v>97</v>
      </c>
      <c r="C60" s="68"/>
      <c r="D60" s="132"/>
      <c r="E60" s="61">
        <v>338840343.25</v>
      </c>
      <c r="F60" s="313">
        <f>270304274+3568893.83</f>
        <v>273873167.82999998</v>
      </c>
    </row>
    <row r="61" spans="2:7" ht="15" thickBot="1" x14ac:dyDescent="0.25">
      <c r="B61" s="309"/>
      <c r="C61" s="133"/>
      <c r="D61" s="134"/>
      <c r="E61" s="134" t="s">
        <v>73</v>
      </c>
      <c r="F61" s="376"/>
    </row>
    <row r="62" spans="2:7" ht="18" customHeight="1" thickBot="1" x14ac:dyDescent="0.25">
      <c r="B62" s="326" t="s">
        <v>199</v>
      </c>
      <c r="C62" s="318"/>
      <c r="D62" s="319" t="e">
        <f>+#REF!+#REF!</f>
        <v>#REF!</v>
      </c>
      <c r="E62" s="320">
        <f>SUM(E59:E61)</f>
        <v>297853295.63</v>
      </c>
      <c r="F62" s="321">
        <f>SUM(F59:F61)</f>
        <v>297853295.63</v>
      </c>
    </row>
    <row r="63" spans="2:7" ht="15" thickTop="1" x14ac:dyDescent="0.2">
      <c r="B63" s="53"/>
      <c r="C63" s="67"/>
      <c r="D63" s="144"/>
      <c r="E63" s="144"/>
      <c r="F63" s="145"/>
    </row>
    <row r="64" spans="2:7" x14ac:dyDescent="0.2">
      <c r="B64" s="53"/>
      <c r="C64" s="67"/>
      <c r="D64" s="144"/>
      <c r="E64" s="144"/>
      <c r="F64" s="145"/>
    </row>
    <row r="65" spans="2:7" x14ac:dyDescent="0.2">
      <c r="B65" s="53"/>
      <c r="C65" s="67"/>
      <c r="D65" s="144"/>
      <c r="E65" s="144"/>
      <c r="F65" s="146"/>
    </row>
    <row r="66" spans="2:7" x14ac:dyDescent="0.2">
      <c r="B66" s="53"/>
      <c r="C66" s="67"/>
      <c r="D66" s="144"/>
      <c r="E66" s="144"/>
      <c r="F66" s="146"/>
    </row>
    <row r="67" spans="2:7" x14ac:dyDescent="0.2">
      <c r="B67" s="355" t="s">
        <v>213</v>
      </c>
      <c r="C67" s="67"/>
      <c r="D67" s="144"/>
      <c r="E67" s="399" t="s">
        <v>214</v>
      </c>
      <c r="F67" s="399"/>
      <c r="G67" s="20"/>
    </row>
    <row r="68" spans="2:7" x14ac:dyDescent="0.2">
      <c r="B68" s="147" t="s">
        <v>211</v>
      </c>
      <c r="C68" s="67"/>
      <c r="D68" s="144"/>
      <c r="E68" s="400" t="s">
        <v>6</v>
      </c>
      <c r="F68" s="400"/>
      <c r="G68" s="20"/>
    </row>
    <row r="69" spans="2:7" x14ac:dyDescent="0.2">
      <c r="C69" s="67"/>
      <c r="D69" s="144"/>
      <c r="E69" s="144"/>
    </row>
    <row r="70" spans="2:7" x14ac:dyDescent="0.2">
      <c r="B70" s="53"/>
      <c r="C70" s="67"/>
      <c r="D70" s="144"/>
      <c r="E70" s="144"/>
      <c r="F70" s="146"/>
    </row>
    <row r="71" spans="2:7" x14ac:dyDescent="0.2">
      <c r="B71" s="356" t="s">
        <v>271</v>
      </c>
      <c r="C71" s="67"/>
      <c r="D71" s="144"/>
      <c r="E71" s="144"/>
      <c r="F71" s="146"/>
    </row>
    <row r="72" spans="2:7" x14ac:dyDescent="0.2">
      <c r="B72" s="398" t="s">
        <v>219</v>
      </c>
      <c r="C72" s="398"/>
      <c r="D72" s="398"/>
      <c r="E72" s="398"/>
      <c r="F72" s="398"/>
    </row>
    <row r="76" spans="2:7" ht="13.5" customHeight="1" x14ac:dyDescent="0.2"/>
    <row r="77" spans="2:7" ht="14.25" customHeight="1" x14ac:dyDescent="0.2"/>
    <row r="78" spans="2:7" ht="13.9" customHeight="1" x14ac:dyDescent="0.2"/>
    <row r="81" spans="4:5" x14ac:dyDescent="0.2">
      <c r="D81" s="17"/>
      <c r="E81" s="17"/>
    </row>
  </sheetData>
  <mergeCells count="6">
    <mergeCell ref="B72:F72"/>
    <mergeCell ref="B8:F8"/>
    <mergeCell ref="B9:F9"/>
    <mergeCell ref="B10:F10"/>
    <mergeCell ref="E67:F67"/>
    <mergeCell ref="E68:F68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2021-03-30T13:52:52Z</cp:lastPrinted>
  <dcterms:created xsi:type="dcterms:W3CDTF">2005-02-18T21:21:25Z</dcterms:created>
  <dcterms:modified xsi:type="dcterms:W3CDTF">2021-03-31T13:07:10Z</dcterms:modified>
</cp:coreProperties>
</file>