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Riesgos Laborales\GERENCIA DE EVALUACION Y SEGUIMIENTO DE BENEFICIOS DEL SRL\GERENTE\CONTROLARIA\EQUIPO TIMON\INDICADORES Y ESTADISTICAS\"/>
    </mc:Choice>
  </mc:AlternateContent>
  <bookViews>
    <workbookView xWindow="0" yWindow="0" windowWidth="28800" windowHeight="12225"/>
  </bookViews>
  <sheets>
    <sheet name="Accidentabilidad Pob T Afiliada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6" l="1"/>
  <c r="N13" i="6"/>
  <c r="N12" i="6"/>
  <c r="N11" i="6"/>
  <c r="N10" i="6"/>
  <c r="N9" i="6"/>
  <c r="N8" i="6"/>
  <c r="N7" i="6"/>
  <c r="N6" i="6"/>
  <c r="N5" i="6"/>
  <c r="K16" i="6"/>
  <c r="K15" i="6"/>
  <c r="K14" i="6"/>
  <c r="K13" i="6"/>
  <c r="K12" i="6"/>
  <c r="K11" i="6"/>
  <c r="K7" i="6"/>
  <c r="K8" i="6"/>
  <c r="K9" i="6"/>
  <c r="K10" i="6"/>
  <c r="K6" i="6"/>
  <c r="K5" i="6"/>
  <c r="P17" i="6"/>
  <c r="M17" i="6"/>
  <c r="J17" i="6"/>
  <c r="H16" i="6"/>
  <c r="H15" i="6"/>
  <c r="H14" i="6"/>
  <c r="H13" i="6"/>
  <c r="H12" i="6"/>
  <c r="H11" i="6"/>
  <c r="H10" i="6"/>
  <c r="H9" i="6"/>
  <c r="H8" i="6"/>
  <c r="H7" i="6"/>
  <c r="H6" i="6"/>
  <c r="H5" i="6"/>
  <c r="E15" i="6"/>
  <c r="E16" i="6"/>
  <c r="E14" i="6"/>
  <c r="E13" i="6"/>
  <c r="E12" i="6"/>
  <c r="E11" i="6"/>
  <c r="E10" i="6"/>
  <c r="E9" i="6"/>
  <c r="E8" i="6"/>
  <c r="E7" i="6"/>
  <c r="E6" i="6"/>
  <c r="E5" i="6"/>
  <c r="G17" i="6"/>
  <c r="D17" i="6"/>
  <c r="B16" i="6"/>
  <c r="B15" i="6"/>
  <c r="B14" i="6"/>
  <c r="B13" i="6"/>
  <c r="B12" i="6"/>
  <c r="B11" i="6"/>
  <c r="B10" i="6"/>
  <c r="B9" i="6"/>
  <c r="B8" i="6"/>
  <c r="B7" i="6"/>
  <c r="F17" i="6"/>
  <c r="I17" i="6"/>
  <c r="L17" i="6"/>
  <c r="O17" i="6"/>
  <c r="C17" i="6"/>
  <c r="B6" i="6"/>
  <c r="B5" i="6"/>
  <c r="N17" i="6" l="1"/>
  <c r="N19" i="6" s="1"/>
  <c r="N18" i="6" s="1"/>
  <c r="H17" i="6"/>
  <c r="H19" i="6" s="1"/>
  <c r="E17" i="6"/>
  <c r="E19" i="6" s="1"/>
  <c r="B17" i="6"/>
  <c r="K17" i="6"/>
  <c r="O18" i="6" l="1"/>
  <c r="J43" i="6"/>
  <c r="J44" i="6" s="1"/>
  <c r="I18" i="6"/>
  <c r="J18" i="6"/>
  <c r="H18" i="6"/>
  <c r="P18" i="6"/>
  <c r="G18" i="6"/>
  <c r="I43" i="6"/>
  <c r="I44" i="6" s="1"/>
  <c r="E18" i="6"/>
  <c r="F18" i="6"/>
  <c r="B19" i="6"/>
  <c r="B18" i="6" s="1"/>
  <c r="K19" i="6"/>
  <c r="K18" i="6" s="1"/>
  <c r="K43" i="6" l="1"/>
  <c r="K44" i="6" s="1"/>
  <c r="M18" i="6"/>
  <c r="L18" i="6"/>
  <c r="H43" i="6"/>
  <c r="H44" i="6" s="1"/>
  <c r="C18" i="6"/>
  <c r="D18" i="6"/>
</calcChain>
</file>

<file path=xl/sharedStrings.xml><?xml version="1.0" encoding="utf-8"?>
<sst xmlns="http://schemas.openxmlformats.org/spreadsheetml/2006/main" count="49" uniqueCount="33">
  <si>
    <t xml:space="preserve">% </t>
  </si>
  <si>
    <t>Trabajadores afiliados</t>
  </si>
  <si>
    <t>En el lugar de trabajo</t>
  </si>
  <si>
    <t>Total/tipo</t>
  </si>
  <si>
    <t>I.I./1000</t>
  </si>
  <si>
    <t>Siniestros (FX)</t>
  </si>
  <si>
    <t>ÍNDICE DE INCIDENCIA DE LAS CONTINGENCIAS LABORALES SOBRE LA AFILIACIÓN AL CORTE MES DICIEMBRE DE CADA AÑO</t>
  </si>
  <si>
    <t>Enfermedades Profesionales</t>
  </si>
  <si>
    <t>Nota: Fecha de Consulta 15nov-21. Tabla Dinámica.</t>
  </si>
  <si>
    <t>Accidentes de Trabajo</t>
  </si>
  <si>
    <t>Dic.-2017</t>
  </si>
  <si>
    <t>Dic.-2018</t>
  </si>
  <si>
    <t>Dic.-2019</t>
  </si>
  <si>
    <t>Dic.-2020</t>
  </si>
  <si>
    <t>Total Reconocidos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</si>
  <si>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</si>
  <si>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</si>
  <si>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</si>
  <si>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</si>
  <si>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</si>
  <si>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</si>
  <si>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</si>
  <si>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</si>
  <si>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</si>
  <si>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</si>
  <si>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</si>
  <si>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</si>
  <si>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</si>
  <si>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Mes</t>
  </si>
  <si>
    <t>De Trayecto</t>
  </si>
  <si>
    <t>SEGURO DE RIESGOS LABORALES: CONTINGENCIAS LABORALES RECONOCIDAS POR MES Y AÑO</t>
  </si>
  <si>
    <t>Fuente: DARL-SISALRIL, según esquema 62 reportado por IDOPPRIL y estadísticas publicada en su página web.</t>
  </si>
  <si>
    <t>Fuente: DARL-SISALRIL, según esquema 62 reportado por IDOPPRIL  y  registros SIE-SIMON/SUIR-TSS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</si>
</sst>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</cellStyleXfs>
  <cellXfs count="45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" xfId="0" applyFill="1" applyBorder="1" applyAlignment="1">
      <alignment horizontal="right"/>
    </xf>
    <xf numFmtId="0" fontId="3" fillId="2" borderId="0" xfId="0" applyFont="1" applyFill="1"/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3" fontId="0" fillId="2" borderId="0" xfId="0" applyNumberFormat="1" applyFill="1" applyBorder="1"/>
    <xf numFmtId="1" fontId="0" fillId="2" borderId="0" xfId="0" applyNumberFormat="1" applyFill="1" applyBorder="1"/>
    <xf numFmtId="1" fontId="5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 horizontal="right" vertical="center"/>
    </xf>
    <xf numFmtId="165" fontId="0" fillId="2" borderId="1" xfId="1" applyNumberFormat="1" applyFont="1" applyFill="1" applyBorder="1" applyAlignment="1">
      <alignment horizontal="right"/>
    </xf>
    <xf numFmtId="164" fontId="8" fillId="2" borderId="1" xfId="1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165" fontId="5" fillId="2" borderId="1" xfId="1" applyNumberFormat="1" applyFont="1" applyFill="1" applyBorder="1" applyAlignment="1">
      <alignment horizontal="right" vertical="center"/>
    </xf>
    <xf numFmtId="164" fontId="5" fillId="2" borderId="1" xfId="1" applyNumberFormat="1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 vertical="center"/>
    </xf>
    <xf numFmtId="164" fontId="8" fillId="2" borderId="7" xfId="1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horizontal="center"/>
    </xf>
    <xf numFmtId="3" fontId="14" fillId="2" borderId="9" xfId="0" applyNumberFormat="1" applyFont="1" applyFill="1" applyBorder="1" applyAlignment="1">
      <alignment horizontal="center" vertical="center"/>
    </xf>
    <xf numFmtId="3" fontId="14" fillId="2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 2" xfId="2"/>
    <cellStyle name="Normal 2 3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Seguro de Riesgos Laborales</a:t>
            </a:r>
            <a:r>
              <a:rPr lang="en-US" sz="1200"/>
              <a:t>:</a:t>
            </a:r>
            <a:r>
              <a:rPr lang="en-US" sz="1200" baseline="0"/>
              <a:t> </a:t>
            </a:r>
            <a:r>
              <a:rPr lang="en-US" sz="1200"/>
              <a:t>Comportamiento de</a:t>
            </a:r>
            <a:r>
              <a:rPr lang="en-US" sz="1200" baseline="0"/>
              <a:t> la frecuencia de las contingencias laborales reconocidas por año y tipo</a:t>
            </a:r>
            <a:endParaRPr lang="en-US" sz="1200"/>
          </a:p>
        </c:rich>
      </c:tx>
      <c:layout>
        <c:manualLayout>
          <c:xMode val="edge"/>
          <c:yMode val="edge"/>
          <c:x val="0.14394077077246384"/>
          <c:y val="2.714583090906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2255571550753001E-2"/>
          <c:y val="0.21220950829422183"/>
          <c:w val="0.91853674779685135"/>
          <c:h val="0.5177572631007331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'Accidentabilidad Pob T Afiliada'!$A$17</c:f>
              <c:strCache>
                <c:ptCount val="1"/>
                <c:pt idx="0">
                  <c:v>Total/tipo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2BC4-45FC-BF87-B22377A92FD7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BC4-45FC-BF87-B22377A92FD7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BC4-45FC-BF87-B22377A92FD7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2BC4-45FC-BF87-B22377A92FD7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2BC4-45FC-BF87-B22377A92FD7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BC4-45FC-BF87-B22377A92FD7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2BC4-45FC-BF87-B22377A92FD7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2BC4-45FC-BF87-B22377A92FD7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2BC4-45FC-BF87-B22377A92FD7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2BC4-45FC-BF87-B22377A92FD7}"/>
              </c:ext>
            </c:extLst>
          </c:dPt>
          <c:dLbls>
            <c:dLbl>
              <c:idx val="0"/>
              <c:layout>
                <c:manualLayout>
                  <c:x val="9.4562647754137114E-3"/>
                  <c:y val="-0.34608978979220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2BC4-45FC-BF87-B22377A92FD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221852429353976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2BC4-45FC-BF87-B22377A92FD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9.7615068915749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2BC4-45FC-BF87-B22377A92FD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7281323877068557E-2"/>
                  <c:y val="-0.28397110957308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2BC4-45FC-BF87-B22377A92FD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8368794326241134E-2"/>
                  <c:y val="-0.190793089244419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2BC4-45FC-BF87-B22377A92FD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3041765169424748E-3"/>
                  <c:y val="-0.119800311851147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2BC4-45FC-BF87-B22377A92FD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2009456264775412E-2"/>
                  <c:y val="-0.319467498269725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2BC4-45FC-BF87-B22377A92FD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1520882584712369E-2"/>
                  <c:y val="-0.19079308924441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2BC4-45FC-BF87-B22377A92FD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5760441292356187E-3"/>
                  <c:y val="-7.986687456743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2BC4-45FC-BF87-B22377A92FD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7336485421591805E-2"/>
                  <c:y val="-0.23960062370229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2BC4-45FC-BF87-B22377A92FD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4184397163120567E-2"/>
                  <c:y val="-0.173044894896101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2BC4-45FC-BF87-B22377A92FD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-0.124237360438226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2BC4-45FC-BF87-B22377A92FD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8912529550827308E-2"/>
                  <c:y val="-0.208541283592737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2BC4-45FC-BF87-B22377A92FD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2.5216706067769899E-2"/>
                  <c:y val="-0.181918992070260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2BC4-45FC-BF87-B22377A92FD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3.4672970843183493E-2"/>
                  <c:y val="-0.141985554786544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2BC4-45FC-BF87-B22377A92FD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'Accidentabilidad Pob T Afiliada'!$B$2:$P$2</c:f>
              <c:numCache>
                <c:formatCode>General</c:formatCode>
                <c:ptCount val="15"/>
                <c:pt idx="0">
                  <c:v>2017</c:v>
                </c:pt>
                <c:pt idx="3">
                  <c:v>2018</c:v>
                </c:pt>
                <c:pt idx="6">
                  <c:v>2019</c:v>
                </c:pt>
                <c:pt idx="9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'Accidentabilidad Pob T Afiliada'!$B$17:$P$17</c:f>
              <c:numCache>
                <c:formatCode>#,##0</c:formatCode>
                <c:ptCount val="15"/>
                <c:pt idx="0">
                  <c:v>26714</c:v>
                </c:pt>
                <c:pt idx="1">
                  <c:v>11627</c:v>
                </c:pt>
                <c:pt idx="2" formatCode="General">
                  <c:v>149</c:v>
                </c:pt>
                <c:pt idx="3" formatCode="_(* #,##0_);_(* \(#,##0\);_(* &quot;-&quot;??_);_(@_)">
                  <c:v>28493</c:v>
                </c:pt>
                <c:pt idx="4">
                  <c:v>12592</c:v>
                </c:pt>
                <c:pt idx="5" formatCode="General">
                  <c:v>222</c:v>
                </c:pt>
                <c:pt idx="6">
                  <c:v>27929</c:v>
                </c:pt>
                <c:pt idx="7">
                  <c:v>13831</c:v>
                </c:pt>
                <c:pt idx="8" formatCode="General">
                  <c:v>162</c:v>
                </c:pt>
                <c:pt idx="9">
                  <c:v>15836</c:v>
                </c:pt>
                <c:pt idx="10">
                  <c:v>9415</c:v>
                </c:pt>
                <c:pt idx="11">
                  <c:v>4512</c:v>
                </c:pt>
                <c:pt idx="12">
                  <c:v>14473</c:v>
                </c:pt>
                <c:pt idx="13">
                  <c:v>8834</c:v>
                </c:pt>
                <c:pt idx="14">
                  <c:v>4540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C4-45FC-BF87-B22377A92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0141896"/>
        <c:axId val="530144248"/>
        <c:axId val="0"/>
      </c:bar3DChart>
      <c:catAx>
        <c:axId val="530141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30144248"/>
        <c:crosses val="autoZero"/>
        <c:auto val="1"/>
        <c:lblAlgn val="ctr"/>
        <c:lblOffset val="100"/>
        <c:noMultiLvlLbl val="0"/>
      </c:catAx>
      <c:valAx>
        <c:axId val="53014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30141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119439508787514"/>
          <c:y val="0.94163384068359379"/>
          <c:w val="0.46002017058537803"/>
          <c:h val="5.83661593164061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Seguro de Riesgos Laborales: </a:t>
            </a:r>
            <a:r>
              <a:rPr lang="en-US" sz="1200" b="0"/>
              <a:t>Comportamiento del índice de indicencia por cierre de año </a:t>
            </a:r>
            <a:endParaRPr lang="es-DO" sz="1200" b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3.4428794992175271E-2"/>
          <c:y val="0.30987257252361322"/>
          <c:w val="0.93114241001564946"/>
          <c:h val="0.57430713690084834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'Accidentabilidad Pob T Afiliada'!$H$41:$K$41</c:f>
              <c:strCache>
                <c:ptCount val="4"/>
                <c:pt idx="0">
                  <c:v>Dic.-2017</c:v>
                </c:pt>
                <c:pt idx="1">
                  <c:v>Dic.-2018</c:v>
                </c:pt>
                <c:pt idx="2">
                  <c:v>Dic.-2019</c:v>
                </c:pt>
                <c:pt idx="3">
                  <c:v>Dic.-2020</c:v>
                </c:pt>
              </c:strCache>
            </c:strRef>
          </c:cat>
          <c:val>
            <c:numRef>
              <c:f>'Accidentabilidad Pob T Afiliada'!$H$44:$K$44</c:f>
              <c:numCache>
                <c:formatCode>0</c:formatCode>
                <c:ptCount val="4"/>
                <c:pt idx="0">
                  <c:v>18.772661074699485</c:v>
                </c:pt>
                <c:pt idx="1">
                  <c:v>19.000547380622727</c:v>
                </c:pt>
                <c:pt idx="2">
                  <c:v>18.584811099639005</c:v>
                </c:pt>
                <c:pt idx="3">
                  <c:v>14.058713776245247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79328496"/>
        <c:axId val="679326928"/>
      </c:lineChart>
      <c:catAx>
        <c:axId val="67932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79326928"/>
        <c:crosses val="autoZero"/>
        <c:auto val="1"/>
        <c:lblAlgn val="ctr"/>
        <c:lblOffset val="100"/>
        <c:noMultiLvlLbl val="0"/>
      </c:catAx>
      <c:valAx>
        <c:axId val="6793269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67932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161924</xdr:colOff>
      <xdr:row>21</xdr:row>
      <xdr:rowOff>47625</xdr:rowOff>
    </xdr:from>
    <xdr:to>
      <xdr:col>13</xdr:col>
      <xdr:colOff>190500</xdr:colOff>
      <xdr:row>36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143C796A-8F2F-4499-8DE4-FE088DCAA4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238126</xdr:colOff>
      <xdr:row>34</xdr:row>
      <xdr:rowOff>133349</xdr:rowOff>
    </xdr:from>
    <xdr:to>
      <xdr:col>7</xdr:col>
      <xdr:colOff>257176</xdr:colOff>
      <xdr:row>35</xdr:row>
      <xdr:rowOff>428624</xdr:rowOff>
    </xdr:to>
    <xdr:sp macro="" textlink="">
      <xdr:nvSpPr>
        <xdr:cNvPr id="2" name="CuadroTexto 1"/>
        <xdr:cNvSpPr txBox="1"/>
      </xdr:nvSpPr>
      <xdr:spPr>
        <a:xfrm>
          <a:off x="4933951" y="7305674"/>
          <a:ext cx="781050" cy="485775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DO" sz="800">
              <a:solidFill>
                <a:schemeClr val="bg1"/>
              </a:solidFill>
            </a:rPr>
            <a:t>Accidentes en lugar de Trabajo (AT)</a:t>
          </a:r>
        </a:p>
      </xdr:txBody>
    </xdr:sp>
    <xdr:clientData/>
  </xdr:twoCellAnchor>
  <xdr:twoCellAnchor>
    <xdr:from>
      <xdr:col>7</xdr:col>
      <xdr:colOff>257176</xdr:colOff>
      <xdr:row>34</xdr:row>
      <xdr:rowOff>142875</xdr:rowOff>
    </xdr:from>
    <xdr:to>
      <xdr:col>8</xdr:col>
      <xdr:colOff>323851</xdr:colOff>
      <xdr:row>35</xdr:row>
      <xdr:rowOff>428625</xdr:rowOff>
    </xdr:to>
    <xdr:sp macro="" textlink="">
      <xdr:nvSpPr>
        <xdr:cNvPr id="4" name="CuadroTexto 3"/>
        <xdr:cNvSpPr txBox="1"/>
      </xdr:nvSpPr>
      <xdr:spPr>
        <a:xfrm>
          <a:off x="5715001" y="7315200"/>
          <a:ext cx="781050" cy="476250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DO" sz="800">
              <a:solidFill>
                <a:schemeClr val="bg1"/>
              </a:solidFill>
            </a:rPr>
            <a:t>Accidentes en Trayecto (At)</a:t>
          </a:r>
        </a:p>
      </xdr:txBody>
    </xdr:sp>
    <xdr:clientData/>
  </xdr:twoCellAnchor>
  <xdr:twoCellAnchor>
    <xdr:from>
      <xdr:col>8</xdr:col>
      <xdr:colOff>333376</xdr:colOff>
      <xdr:row>34</xdr:row>
      <xdr:rowOff>142875</xdr:rowOff>
    </xdr:from>
    <xdr:to>
      <xdr:col>9</xdr:col>
      <xdr:colOff>438151</xdr:colOff>
      <xdr:row>35</xdr:row>
      <xdr:rowOff>419100</xdr:rowOff>
    </xdr:to>
    <xdr:sp macro="" textlink="">
      <xdr:nvSpPr>
        <xdr:cNvPr id="5" name="CuadroTexto 4"/>
        <xdr:cNvSpPr txBox="1"/>
      </xdr:nvSpPr>
      <xdr:spPr>
        <a:xfrm>
          <a:off x="6505576" y="7315200"/>
          <a:ext cx="781050" cy="46672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DO" sz="800">
              <a:solidFill>
                <a:schemeClr val="bg1"/>
              </a:solidFill>
            </a:rPr>
            <a:t>Enfermedad Profesional</a:t>
          </a:r>
        </a:p>
      </xdr:txBody>
    </xdr:sp>
    <xdr:clientData/>
  </xdr:twoCellAnchor>
  <xdr:twoCellAnchor>
    <xdr:from>
      <xdr:col>5</xdr:col>
      <xdr:colOff>523875</xdr:colOff>
      <xdr:row>45</xdr:row>
      <xdr:rowOff>147637</xdr:rowOff>
    </xdr:from>
    <xdr:to>
      <xdr:col>11</xdr:col>
      <xdr:colOff>180975</xdr:colOff>
      <xdr:row>56</xdr:row>
      <xdr:rowOff>47625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workbookViewId="0">
      <selection activeCell="O22" sqref="O22"/>
    </sheetView>
  </sheetViews>
  <sheetFormatPr baseColWidth="10" defaultRowHeight="15" x14ac:dyDescent="0.25"/>
  <cols>
    <col min="1" max="1" width="18" style="1" customWidth="1"/>
    <col min="2" max="2" width="10.7109375" style="1" customWidth="1"/>
    <col min="3" max="3" width="10" style="1" customWidth="1"/>
    <col min="4" max="4" width="11.42578125" style="1"/>
    <col min="5" max="5" width="10" style="1" customWidth="1"/>
    <col min="6" max="6" width="10.28515625" style="1" customWidth="1"/>
    <col min="7" max="7" width="11.42578125" style="1"/>
    <col min="8" max="8" width="10.7109375" style="1" customWidth="1"/>
    <col min="9" max="9" width="10.140625" style="1" customWidth="1"/>
    <col min="10" max="10" width="12.7109375" style="1" bestFit="1" customWidth="1"/>
    <col min="11" max="11" width="10.7109375" style="1" customWidth="1"/>
    <col min="12" max="12" width="10.28515625" style="1" customWidth="1"/>
    <col min="13" max="13" width="11.42578125" style="1"/>
    <col min="14" max="14" width="10.5703125" style="1" customWidth="1"/>
    <col min="15" max="15" width="10.140625" style="1" customWidth="1"/>
    <col min="16" max="16384" width="11.42578125" style="1"/>
  </cols>
  <sheetData>
    <row r="1" spans="1:16" ht="21.75" thickBot="1" x14ac:dyDescent="0.4">
      <c r="A1" s="41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x14ac:dyDescent="0.25">
      <c r="A2" s="33" t="s">
        <v>27</v>
      </c>
      <c r="B2" s="34">
        <v>2017</v>
      </c>
      <c r="C2" s="34"/>
      <c r="D2" s="34"/>
      <c r="E2" s="34">
        <v>2018</v>
      </c>
      <c r="F2" s="34"/>
      <c r="G2" s="34"/>
      <c r="H2" s="34">
        <v>2019</v>
      </c>
      <c r="I2" s="34"/>
      <c r="J2" s="34"/>
      <c r="K2" s="34">
        <v>2020</v>
      </c>
      <c r="L2" s="34"/>
      <c r="M2" s="34"/>
      <c r="N2" s="34">
        <v>2021</v>
      </c>
      <c r="O2" s="34"/>
      <c r="P2" s="35"/>
    </row>
    <row r="3" spans="1:16" x14ac:dyDescent="0.25">
      <c r="A3" s="23" t="s">
        <v>28</v>
      </c>
      <c r="B3" s="36" t="s">
        <v>9</v>
      </c>
      <c r="C3" s="36"/>
      <c r="D3" s="22" t="s">
        <v>7</v>
      </c>
      <c r="E3" s="36" t="s">
        <v>9</v>
      </c>
      <c r="F3" s="36"/>
      <c r="G3" s="22" t="s">
        <v>7</v>
      </c>
      <c r="H3" s="36" t="s">
        <v>9</v>
      </c>
      <c r="I3" s="36"/>
      <c r="J3" s="22" t="s">
        <v>7</v>
      </c>
      <c r="K3" s="36" t="s">
        <v>9</v>
      </c>
      <c r="L3" s="36"/>
      <c r="M3" s="22" t="s">
        <v>7</v>
      </c>
      <c r="N3" s="36" t="s">
        <v>9</v>
      </c>
      <c r="O3" s="36"/>
      <c r="P3" s="24" t="s">
        <v>7</v>
      </c>
    </row>
    <row r="4" spans="1:16" ht="26.25" x14ac:dyDescent="0.25">
      <c r="A4" s="23"/>
      <c r="B4" s="21" t="s">
        <v>2</v>
      </c>
      <c r="C4" s="37" t="s">
        <v>29</v>
      </c>
      <c r="D4" s="22"/>
      <c r="E4" s="21" t="s">
        <v>2</v>
      </c>
      <c r="F4" s="37" t="s">
        <v>29</v>
      </c>
      <c r="G4" s="22"/>
      <c r="H4" s="21" t="s">
        <v>2</v>
      </c>
      <c r="I4" s="37" t="s">
        <v>29</v>
      </c>
      <c r="J4" s="22"/>
      <c r="K4" s="21" t="s">
        <v>2</v>
      </c>
      <c r="L4" s="37" t="s">
        <v>29</v>
      </c>
      <c r="M4" s="22"/>
      <c r="N4" s="21" t="s">
        <v>2</v>
      </c>
      <c r="O4" s="37" t="s">
        <v>29</v>
      </c>
      <c r="P4" s="24"/>
    </row>
    <row r="5" spans="1:16" x14ac:dyDescent="0.25">
      <c r="A5" s="25" t="s">
        <v>15</v>
      </c>
      <c r="B5" s="15">
        <f>1834+25</f>
        <v>1859</v>
      </c>
      <c r="C5" s="15">
        <v>962</v>
      </c>
      <c r="D5" s="3">
        <v>11</v>
      </c>
      <c r="E5" s="16">
        <f>20+2054</f>
        <v>2074</v>
      </c>
      <c r="F5" s="15">
        <v>909</v>
      </c>
      <c r="G5" s="3">
        <v>9</v>
      </c>
      <c r="H5" s="15">
        <f>24+2157</f>
        <v>2181</v>
      </c>
      <c r="I5" s="15">
        <v>1152</v>
      </c>
      <c r="J5" s="3">
        <v>15</v>
      </c>
      <c r="K5" s="15">
        <f>8+1952</f>
        <v>1960</v>
      </c>
      <c r="L5" s="15">
        <v>1124</v>
      </c>
      <c r="M5" s="14">
        <v>12</v>
      </c>
      <c r="N5" s="14">
        <f>5+1202</f>
        <v>1207</v>
      </c>
      <c r="O5" s="15">
        <v>830</v>
      </c>
      <c r="P5" s="26">
        <v>515</v>
      </c>
    </row>
    <row r="6" spans="1:16" x14ac:dyDescent="0.25">
      <c r="A6" s="25" t="s">
        <v>16</v>
      </c>
      <c r="B6" s="15">
        <f>36+1874</f>
        <v>1910</v>
      </c>
      <c r="C6" s="15">
        <v>890</v>
      </c>
      <c r="D6" s="3">
        <v>20</v>
      </c>
      <c r="E6" s="16">
        <f>25+1989</f>
        <v>2014</v>
      </c>
      <c r="F6" s="15">
        <v>982</v>
      </c>
      <c r="G6" s="3">
        <v>11</v>
      </c>
      <c r="H6" s="15">
        <f>23+2227</f>
        <v>2250</v>
      </c>
      <c r="I6" s="15">
        <v>1176</v>
      </c>
      <c r="J6" s="3">
        <v>18</v>
      </c>
      <c r="K6" s="15">
        <f>13+1758</f>
        <v>1771</v>
      </c>
      <c r="L6" s="15">
        <v>947</v>
      </c>
      <c r="M6" s="14">
        <v>10</v>
      </c>
      <c r="N6" s="14">
        <f>8+1227</f>
        <v>1235</v>
      </c>
      <c r="O6" s="15">
        <v>955</v>
      </c>
      <c r="P6" s="26">
        <v>729</v>
      </c>
    </row>
    <row r="7" spans="1:16" x14ac:dyDescent="0.25">
      <c r="A7" s="25" t="s">
        <v>17</v>
      </c>
      <c r="B7" s="15">
        <f>30+2517</f>
        <v>2547</v>
      </c>
      <c r="C7" s="15">
        <v>1152</v>
      </c>
      <c r="D7" s="3">
        <v>11</v>
      </c>
      <c r="E7" s="16">
        <f>30+2178</f>
        <v>2208</v>
      </c>
      <c r="F7" s="15">
        <v>1072</v>
      </c>
      <c r="G7" s="3">
        <v>16</v>
      </c>
      <c r="H7" s="15">
        <f>26+2580</f>
        <v>2606</v>
      </c>
      <c r="I7" s="15">
        <v>1411</v>
      </c>
      <c r="J7" s="3">
        <v>13</v>
      </c>
      <c r="K7" s="15">
        <f>12+1751</f>
        <v>1763</v>
      </c>
      <c r="L7" s="15">
        <v>909</v>
      </c>
      <c r="M7" s="14">
        <v>20</v>
      </c>
      <c r="N7" s="14">
        <f>10+1420</f>
        <v>1430</v>
      </c>
      <c r="O7" s="15">
        <v>1067</v>
      </c>
      <c r="P7" s="26">
        <v>609</v>
      </c>
    </row>
    <row r="8" spans="1:16" x14ac:dyDescent="0.25">
      <c r="A8" s="25" t="s">
        <v>18</v>
      </c>
      <c r="B8" s="15">
        <f>21+2048</f>
        <v>2069</v>
      </c>
      <c r="C8" s="15">
        <v>824</v>
      </c>
      <c r="D8" s="3">
        <v>14</v>
      </c>
      <c r="E8" s="16">
        <f>36+2321</f>
        <v>2357</v>
      </c>
      <c r="F8" s="15">
        <v>1002</v>
      </c>
      <c r="G8" s="3">
        <v>24</v>
      </c>
      <c r="H8" s="15">
        <f>21+2362</f>
        <v>2383</v>
      </c>
      <c r="I8" s="15">
        <v>1135</v>
      </c>
      <c r="J8" s="3">
        <v>21</v>
      </c>
      <c r="K8" s="15">
        <f>3+415</f>
        <v>418</v>
      </c>
      <c r="L8" s="15">
        <v>276</v>
      </c>
      <c r="M8" s="14">
        <v>2</v>
      </c>
      <c r="N8" s="14">
        <f>10+1407</f>
        <v>1417</v>
      </c>
      <c r="O8" s="15">
        <v>782</v>
      </c>
      <c r="P8" s="26">
        <v>633</v>
      </c>
    </row>
    <row r="9" spans="1:16" x14ac:dyDescent="0.25">
      <c r="A9" s="25" t="s">
        <v>19</v>
      </c>
      <c r="B9" s="15">
        <f>42+2239</f>
        <v>2281</v>
      </c>
      <c r="C9" s="15">
        <v>960</v>
      </c>
      <c r="D9" s="3">
        <v>10</v>
      </c>
      <c r="E9" s="16">
        <f>38+2859</f>
        <v>2897</v>
      </c>
      <c r="F9" s="15">
        <v>1128</v>
      </c>
      <c r="G9" s="3">
        <v>22</v>
      </c>
      <c r="H9" s="15">
        <f>33+2724</f>
        <v>2757</v>
      </c>
      <c r="I9" s="15">
        <v>1205</v>
      </c>
      <c r="J9" s="3">
        <v>23</v>
      </c>
      <c r="K9" s="15">
        <f>7+735</f>
        <v>742</v>
      </c>
      <c r="L9" s="15">
        <v>482</v>
      </c>
      <c r="M9" s="14">
        <v>7</v>
      </c>
      <c r="N9" s="14">
        <f>11+1531</f>
        <v>1542</v>
      </c>
      <c r="O9" s="15">
        <v>824</v>
      </c>
      <c r="P9" s="26">
        <v>603</v>
      </c>
    </row>
    <row r="10" spans="1:16" x14ac:dyDescent="0.25">
      <c r="A10" s="25" t="s">
        <v>20</v>
      </c>
      <c r="B10" s="15">
        <f>31+2307</f>
        <v>2338</v>
      </c>
      <c r="C10" s="15">
        <v>877</v>
      </c>
      <c r="D10" s="3">
        <v>8</v>
      </c>
      <c r="E10" s="16">
        <f>27+2408</f>
        <v>2435</v>
      </c>
      <c r="F10" s="15">
        <v>1088</v>
      </c>
      <c r="G10" s="3">
        <v>22</v>
      </c>
      <c r="H10" s="15">
        <f>33+2148</f>
        <v>2181</v>
      </c>
      <c r="I10" s="15">
        <v>953</v>
      </c>
      <c r="J10" s="3">
        <v>11</v>
      </c>
      <c r="K10" s="15">
        <f>4+1260</f>
        <v>1264</v>
      </c>
      <c r="L10" s="15">
        <v>684</v>
      </c>
      <c r="M10" s="14">
        <v>214</v>
      </c>
      <c r="N10" s="14">
        <f>13+1436</f>
        <v>1449</v>
      </c>
      <c r="O10" s="15">
        <v>819</v>
      </c>
      <c r="P10" s="26">
        <v>266</v>
      </c>
    </row>
    <row r="11" spans="1:16" x14ac:dyDescent="0.25">
      <c r="A11" s="25" t="s">
        <v>21</v>
      </c>
      <c r="B11" s="15">
        <f>16+2285</f>
        <v>2301</v>
      </c>
      <c r="C11" s="15">
        <v>927</v>
      </c>
      <c r="D11" s="3">
        <v>12</v>
      </c>
      <c r="E11" s="16">
        <f>37+2367</f>
        <v>2404</v>
      </c>
      <c r="F11" s="15">
        <v>1109</v>
      </c>
      <c r="G11" s="3">
        <v>18</v>
      </c>
      <c r="H11" s="15">
        <f>31+2626</f>
        <v>2657</v>
      </c>
      <c r="I11" s="15">
        <v>1106</v>
      </c>
      <c r="J11" s="3">
        <v>7</v>
      </c>
      <c r="K11" s="15">
        <f>8+1312</f>
        <v>1320</v>
      </c>
      <c r="L11" s="15">
        <v>759</v>
      </c>
      <c r="M11" s="14">
        <v>392</v>
      </c>
      <c r="N11" s="14">
        <f>10+1805</f>
        <v>1815</v>
      </c>
      <c r="O11" s="15">
        <v>925</v>
      </c>
      <c r="P11" s="26">
        <v>308</v>
      </c>
    </row>
    <row r="12" spans="1:16" x14ac:dyDescent="0.25">
      <c r="A12" s="25" t="s">
        <v>22</v>
      </c>
      <c r="B12" s="15">
        <f>19+2451</f>
        <v>2470</v>
      </c>
      <c r="C12" s="15">
        <v>924</v>
      </c>
      <c r="D12" s="3">
        <v>9</v>
      </c>
      <c r="E12" s="16">
        <f>18+2582</f>
        <v>2600</v>
      </c>
      <c r="F12" s="15">
        <v>1129</v>
      </c>
      <c r="G12" s="3">
        <v>24</v>
      </c>
      <c r="H12" s="15">
        <f>19+2205</f>
        <v>2224</v>
      </c>
      <c r="I12" s="15">
        <v>1121</v>
      </c>
      <c r="J12" s="3">
        <v>9</v>
      </c>
      <c r="K12" s="15">
        <f>9+1169</f>
        <v>1178</v>
      </c>
      <c r="L12" s="15">
        <v>674</v>
      </c>
      <c r="M12" s="14">
        <v>655</v>
      </c>
      <c r="N12" s="14">
        <f>5+1541</f>
        <v>1546</v>
      </c>
      <c r="O12" s="15">
        <v>841</v>
      </c>
      <c r="P12" s="26">
        <v>345</v>
      </c>
    </row>
    <row r="13" spans="1:16" x14ac:dyDescent="0.25">
      <c r="A13" s="25" t="s">
        <v>23</v>
      </c>
      <c r="B13" s="15">
        <f>35+2029</f>
        <v>2064</v>
      </c>
      <c r="C13" s="15">
        <v>941</v>
      </c>
      <c r="D13" s="3">
        <v>13</v>
      </c>
      <c r="E13" s="16">
        <f>13+2195</f>
        <v>2208</v>
      </c>
      <c r="F13" s="15">
        <v>926</v>
      </c>
      <c r="G13" s="3">
        <v>15</v>
      </c>
      <c r="H13" s="15">
        <f>27+2115</f>
        <v>2142</v>
      </c>
      <c r="I13" s="15">
        <v>1135</v>
      </c>
      <c r="J13" s="3">
        <v>12</v>
      </c>
      <c r="K13" s="15">
        <f>12+1490</f>
        <v>1502</v>
      </c>
      <c r="L13" s="15">
        <v>887</v>
      </c>
      <c r="M13" s="14">
        <v>1008</v>
      </c>
      <c r="N13" s="14">
        <f>8+1447</f>
        <v>1455</v>
      </c>
      <c r="O13" s="15">
        <v>952</v>
      </c>
      <c r="P13" s="26">
        <v>291</v>
      </c>
    </row>
    <row r="14" spans="1:16" x14ac:dyDescent="0.25">
      <c r="A14" s="25" t="s">
        <v>24</v>
      </c>
      <c r="B14" s="15">
        <f>38+2367</f>
        <v>2405</v>
      </c>
      <c r="C14" s="15">
        <v>1104</v>
      </c>
      <c r="D14" s="3">
        <v>14</v>
      </c>
      <c r="E14" s="16">
        <f>23+2599</f>
        <v>2622</v>
      </c>
      <c r="F14" s="15">
        <v>1245</v>
      </c>
      <c r="G14" s="3">
        <v>15</v>
      </c>
      <c r="H14" s="15">
        <f>36+2510</f>
        <v>2546</v>
      </c>
      <c r="I14" s="15">
        <v>1291</v>
      </c>
      <c r="J14" s="3">
        <v>11</v>
      </c>
      <c r="K14" s="15">
        <f>11+1456</f>
        <v>1467</v>
      </c>
      <c r="L14" s="15">
        <v>964</v>
      </c>
      <c r="M14" s="14">
        <v>942</v>
      </c>
      <c r="N14" s="14">
        <f>9+1368</f>
        <v>1377</v>
      </c>
      <c r="O14" s="15">
        <v>839</v>
      </c>
      <c r="P14" s="26">
        <v>241</v>
      </c>
    </row>
    <row r="15" spans="1:16" x14ac:dyDescent="0.25">
      <c r="A15" s="25" t="s">
        <v>25</v>
      </c>
      <c r="B15" s="15">
        <f>29+2249</f>
        <v>2278</v>
      </c>
      <c r="C15" s="15">
        <v>997</v>
      </c>
      <c r="D15" s="3">
        <v>18</v>
      </c>
      <c r="E15" s="16">
        <f>28+2521</f>
        <v>2549</v>
      </c>
      <c r="F15" s="15">
        <v>1073</v>
      </c>
      <c r="G15" s="3">
        <v>26</v>
      </c>
      <c r="H15" s="15">
        <f>23+2068</f>
        <v>2091</v>
      </c>
      <c r="I15" s="15">
        <v>1086</v>
      </c>
      <c r="J15" s="3">
        <v>10</v>
      </c>
      <c r="K15" s="15">
        <f>10+1369</f>
        <v>1379</v>
      </c>
      <c r="L15" s="15">
        <v>955</v>
      </c>
      <c r="M15" s="14">
        <v>693</v>
      </c>
      <c r="N15" s="14"/>
      <c r="O15" s="15"/>
      <c r="P15" s="26"/>
    </row>
    <row r="16" spans="1:16" x14ac:dyDescent="0.25">
      <c r="A16" s="25" t="s">
        <v>26</v>
      </c>
      <c r="B16" s="15">
        <f>37+2155</f>
        <v>2192</v>
      </c>
      <c r="C16" s="15">
        <v>1069</v>
      </c>
      <c r="D16" s="3">
        <v>9</v>
      </c>
      <c r="E16" s="16">
        <f>12+2113</f>
        <v>2125</v>
      </c>
      <c r="F16" s="15">
        <v>929</v>
      </c>
      <c r="G16" s="3">
        <v>20</v>
      </c>
      <c r="H16" s="15">
        <f>22+1889</f>
        <v>1911</v>
      </c>
      <c r="I16" s="15">
        <v>1060</v>
      </c>
      <c r="J16" s="3">
        <v>12</v>
      </c>
      <c r="K16" s="15">
        <f>9+1063</f>
        <v>1072</v>
      </c>
      <c r="L16" s="15">
        <v>754</v>
      </c>
      <c r="M16" s="14">
        <v>557</v>
      </c>
      <c r="N16" s="14"/>
      <c r="O16" s="15"/>
      <c r="P16" s="26"/>
    </row>
    <row r="17" spans="1:16" x14ac:dyDescent="0.25">
      <c r="A17" s="25" t="s">
        <v>3</v>
      </c>
      <c r="B17" s="18">
        <f>SUM(B5:B16)</f>
        <v>26714</v>
      </c>
      <c r="C17" s="18">
        <f>SUM(C5:C16)</f>
        <v>11627</v>
      </c>
      <c r="D17" s="13">
        <f>SUM(D5:D16)</f>
        <v>149</v>
      </c>
      <c r="E17" s="19">
        <f>SUM(E5:E16)</f>
        <v>28493</v>
      </c>
      <c r="F17" s="18">
        <f t="shared" ref="F17" si="0">SUM(F5:F16)</f>
        <v>12592</v>
      </c>
      <c r="G17" s="13">
        <f>SUM(G5:G16)</f>
        <v>222</v>
      </c>
      <c r="H17" s="18">
        <f>SUM(H5:H16)</f>
        <v>27929</v>
      </c>
      <c r="I17" s="18">
        <f t="shared" ref="I17" si="1">SUM(I5:I16)</f>
        <v>13831</v>
      </c>
      <c r="J17" s="13">
        <f>SUM(J5:J16)</f>
        <v>162</v>
      </c>
      <c r="K17" s="18">
        <f>SUM(K5:K16)</f>
        <v>15836</v>
      </c>
      <c r="L17" s="18">
        <f t="shared" ref="L17" si="2">SUM(L5:L16)</f>
        <v>9415</v>
      </c>
      <c r="M17" s="18">
        <f>SUM(M5:M16)</f>
        <v>4512</v>
      </c>
      <c r="N17" s="18">
        <f>SUM(N5:N16)</f>
        <v>14473</v>
      </c>
      <c r="O17" s="18">
        <f t="shared" ref="O17" si="3">SUM(O5:O16)</f>
        <v>8834</v>
      </c>
      <c r="P17" s="27">
        <f>SUM(P5:P16)</f>
        <v>4540</v>
      </c>
    </row>
    <row r="18" spans="1:16" x14ac:dyDescent="0.25">
      <c r="A18" s="25" t="s">
        <v>0</v>
      </c>
      <c r="B18" s="20">
        <f>B17*100/$B$19</f>
        <v>69.405040270200047</v>
      </c>
      <c r="C18" s="20">
        <f>C17*100/$B$19</f>
        <v>30.207846193816575</v>
      </c>
      <c r="D18" s="20">
        <f>D17*100/$B$19</f>
        <v>0.38711353598337228</v>
      </c>
      <c r="E18" s="20">
        <f>E17*100/E19</f>
        <v>68.978623477860893</v>
      </c>
      <c r="F18" s="20">
        <f>F17*100/E19</f>
        <v>30.483937347180866</v>
      </c>
      <c r="G18" s="20">
        <f>G17*100/E19</f>
        <v>0.53743917495823956</v>
      </c>
      <c r="H18" s="20">
        <f>H17*100/H19</f>
        <v>66.621344401507557</v>
      </c>
      <c r="I18" s="20">
        <f>I17*100/H19</f>
        <v>32.992223653451646</v>
      </c>
      <c r="J18" s="20">
        <f>J17*100/H19</f>
        <v>0.38643194504079004</v>
      </c>
      <c r="K18" s="20">
        <f>K17*100/K19</f>
        <v>53.20700198232705</v>
      </c>
      <c r="L18" s="20">
        <f>L17*100/K19</f>
        <v>31.633235896918993</v>
      </c>
      <c r="M18" s="17">
        <f>M17*100/K19</f>
        <v>15.159762120753957</v>
      </c>
      <c r="N18" s="20">
        <f>N17*100/N19</f>
        <v>51.973282579811112</v>
      </c>
      <c r="O18" s="20">
        <f>O17*100/N19</f>
        <v>31.723345423205373</v>
      </c>
      <c r="P18" s="28">
        <f>P17*100/N19</f>
        <v>16.303371996983518</v>
      </c>
    </row>
    <row r="19" spans="1:16" s="29" customFormat="1" ht="16.5" thickBot="1" x14ac:dyDescent="0.3">
      <c r="A19" s="32" t="s">
        <v>14</v>
      </c>
      <c r="B19" s="30">
        <f>B17+C17+D17</f>
        <v>38490</v>
      </c>
      <c r="C19" s="30"/>
      <c r="D19" s="30"/>
      <c r="E19" s="30">
        <f>E17+F17+G17</f>
        <v>41307</v>
      </c>
      <c r="F19" s="30"/>
      <c r="G19" s="30"/>
      <c r="H19" s="30">
        <f>H17+I17+J17</f>
        <v>41922</v>
      </c>
      <c r="I19" s="30"/>
      <c r="J19" s="30"/>
      <c r="K19" s="30">
        <f>K17+L17+M17</f>
        <v>29763</v>
      </c>
      <c r="L19" s="30"/>
      <c r="M19" s="30"/>
      <c r="N19" s="30">
        <f>N17+O17+P17</f>
        <v>27847</v>
      </c>
      <c r="O19" s="30"/>
      <c r="P19" s="31"/>
    </row>
    <row r="20" spans="1:16" x14ac:dyDescent="0.25">
      <c r="A20" s="38" t="s">
        <v>31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x14ac:dyDescent="0.25">
      <c r="A21" s="40" t="s">
        <v>8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5" spans="1:16" ht="35.25" customHeight="1" x14ac:dyDescent="0.25"/>
    <row r="26" spans="1:16" x14ac:dyDescent="0.25">
      <c r="G26" s="2"/>
      <c r="H26" s="2"/>
      <c r="I26" s="2"/>
      <c r="J26" s="2"/>
      <c r="K26" s="2"/>
    </row>
    <row r="27" spans="1:16" x14ac:dyDescent="0.25">
      <c r="G27" s="2"/>
      <c r="H27" s="5"/>
      <c r="I27" s="5"/>
      <c r="J27" s="5"/>
      <c r="K27" s="5"/>
    </row>
    <row r="28" spans="1:16" x14ac:dyDescent="0.25">
      <c r="G28" s="6"/>
      <c r="H28" s="7"/>
      <c r="I28" s="7"/>
      <c r="J28" s="7"/>
      <c r="K28" s="7"/>
    </row>
    <row r="29" spans="1:16" ht="30" customHeight="1" x14ac:dyDescent="0.25">
      <c r="G29" s="6"/>
      <c r="H29" s="7"/>
      <c r="I29" s="7"/>
      <c r="J29" s="7"/>
      <c r="K29" s="7"/>
    </row>
    <row r="30" spans="1:16" x14ac:dyDescent="0.25">
      <c r="G30" s="2"/>
      <c r="H30" s="8"/>
      <c r="I30" s="8"/>
      <c r="J30" s="8"/>
      <c r="K30" s="8"/>
    </row>
    <row r="32" spans="1:16" x14ac:dyDescent="0.25">
      <c r="G32" s="4"/>
      <c r="H32" s="4"/>
    </row>
    <row r="36" spans="1:16" ht="37.5" customHeight="1" x14ac:dyDescent="0.25">
      <c r="G36" s="44"/>
      <c r="H36" s="44"/>
      <c r="I36" s="44"/>
    </row>
    <row r="40" spans="1:16" ht="20.25" customHeight="1" x14ac:dyDescent="0.35">
      <c r="A40" s="43" t="s">
        <v>6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</row>
    <row r="41" spans="1:16" x14ac:dyDescent="0.25">
      <c r="H41" s="10" t="s">
        <v>10</v>
      </c>
      <c r="I41" s="10" t="s">
        <v>11</v>
      </c>
      <c r="J41" s="10" t="s">
        <v>12</v>
      </c>
      <c r="K41" s="10" t="s">
        <v>13</v>
      </c>
    </row>
    <row r="42" spans="1:16" ht="26.25" x14ac:dyDescent="0.25">
      <c r="G42" s="11" t="s">
        <v>1</v>
      </c>
      <c r="H42" s="12">
        <v>2050322</v>
      </c>
      <c r="I42" s="12">
        <v>2173990</v>
      </c>
      <c r="J42" s="12">
        <v>2255713</v>
      </c>
      <c r="K42" s="12">
        <v>2117050</v>
      </c>
    </row>
    <row r="43" spans="1:16" ht="26.25" x14ac:dyDescent="0.25">
      <c r="G43" s="11" t="s">
        <v>5</v>
      </c>
      <c r="H43" s="12">
        <f>B19</f>
        <v>38490</v>
      </c>
      <c r="I43" s="12">
        <f>E19</f>
        <v>41307</v>
      </c>
      <c r="J43" s="12">
        <f>H19</f>
        <v>41922</v>
      </c>
      <c r="K43" s="12">
        <f>K19</f>
        <v>29763</v>
      </c>
    </row>
    <row r="44" spans="1:16" x14ac:dyDescent="0.25">
      <c r="G44" s="11" t="s">
        <v>4</v>
      </c>
      <c r="H44" s="9">
        <f>H43*1000/H42</f>
        <v>18.772661074699485</v>
      </c>
      <c r="I44" s="9">
        <f t="shared" ref="I44:K44" si="4">I43*1000/I42</f>
        <v>19.000547380622727</v>
      </c>
      <c r="J44" s="9">
        <f t="shared" si="4"/>
        <v>18.584811099639005</v>
      </c>
      <c r="K44" s="9">
        <f t="shared" si="4"/>
        <v>14.058713776245247</v>
      </c>
    </row>
    <row r="45" spans="1:16" ht="24.75" customHeight="1" x14ac:dyDescent="0.25">
      <c r="G45" s="42" t="s">
        <v>32</v>
      </c>
      <c r="H45" s="42"/>
      <c r="I45" s="42"/>
      <c r="J45" s="42"/>
      <c r="K45" s="42"/>
    </row>
  </sheetData>
  <mergeCells count="26">
    <mergeCell ref="G45:K45"/>
    <mergeCell ref="A40:P40"/>
    <mergeCell ref="N2:P2"/>
    <mergeCell ref="A20:P20"/>
    <mergeCell ref="A21:P21"/>
    <mergeCell ref="A1:P1"/>
    <mergeCell ref="A3:A4"/>
    <mergeCell ref="E2:G2"/>
    <mergeCell ref="H2:J2"/>
    <mergeCell ref="K2:M2"/>
    <mergeCell ref="B19:D19"/>
    <mergeCell ref="E19:G19"/>
    <mergeCell ref="H19:J19"/>
    <mergeCell ref="K19:M19"/>
    <mergeCell ref="B3:C3"/>
    <mergeCell ref="B2:D2"/>
    <mergeCell ref="D3:D4"/>
    <mergeCell ref="E3:F3"/>
    <mergeCell ref="G3:G4"/>
    <mergeCell ref="N19:P19"/>
    <mergeCell ref="H3:I3"/>
    <mergeCell ref="J3:J4"/>
    <mergeCell ref="K3:L3"/>
    <mergeCell ref="M3:M4"/>
    <mergeCell ref="N3:O3"/>
    <mergeCell ref="P3:P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Accidentabilidad Pob T Afiliada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Gil</dc:creator>
  <cp:lastModifiedBy>Rosabel Fermin Veras</cp:lastModifiedBy>
  <dcterms:created xsi:type="dcterms:W3CDTF">2021-08-23T18:25:17Z</dcterms:created>
  <dcterms:modified xsi:type="dcterms:W3CDTF">2021-11-15T15:01:45Z</dcterms:modified>
</cp:coreProperties>
</file>